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люда\мої документи\РІШЕННЯ\виконання 2021\сесія\"/>
    </mc:Choice>
  </mc:AlternateContent>
  <bookViews>
    <workbookView xWindow="-120" yWindow="-120" windowWidth="29040" windowHeight="15840"/>
  </bookViews>
  <sheets>
    <sheet name="Квітень" sheetId="4" r:id="rId1"/>
  </sheets>
  <definedNames>
    <definedName name="_xlnm.Print_Area" localSheetId="0">Квітень!$A$1:$H$1092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85" i="4" l="1"/>
  <c r="F785" i="4"/>
  <c r="G786" i="4"/>
  <c r="F786" i="4"/>
  <c r="H1036" i="4"/>
  <c r="H962" i="4"/>
  <c r="H933" i="4"/>
  <c r="H939" i="4"/>
  <c r="H940" i="4"/>
  <c r="H799" i="4"/>
  <c r="H800" i="4"/>
  <c r="H801" i="4"/>
  <c r="H804" i="4"/>
  <c r="H805" i="4"/>
  <c r="H806" i="4"/>
  <c r="H822" i="4"/>
  <c r="H823" i="4"/>
  <c r="H830" i="4"/>
  <c r="H831" i="4"/>
  <c r="H835" i="4"/>
  <c r="H841" i="4"/>
  <c r="H648" i="4"/>
  <c r="H649" i="4"/>
  <c r="H663" i="4"/>
  <c r="H664" i="4"/>
  <c r="H665" i="4"/>
  <c r="H668" i="4"/>
  <c r="H669" i="4"/>
  <c r="H680" i="4"/>
  <c r="H681" i="4"/>
  <c r="H683" i="4"/>
  <c r="H684" i="4"/>
  <c r="H686" i="4"/>
  <c r="H687" i="4"/>
  <c r="H598" i="4"/>
  <c r="H599" i="4"/>
  <c r="H602" i="4"/>
  <c r="H603" i="4"/>
  <c r="H14" i="4"/>
  <c r="H15" i="4"/>
  <c r="H16" i="4"/>
  <c r="H18" i="4"/>
  <c r="H19" i="4"/>
  <c r="H21" i="4"/>
  <c r="H22" i="4"/>
  <c r="H23" i="4"/>
  <c r="H24" i="4"/>
  <c r="H26" i="4"/>
  <c r="H37" i="4"/>
  <c r="H59" i="4"/>
  <c r="H76" i="4"/>
  <c r="H77" i="4"/>
  <c r="H161" i="4"/>
  <c r="H162" i="4"/>
  <c r="H163" i="4"/>
  <c r="H166" i="4"/>
  <c r="H167" i="4"/>
  <c r="H170" i="4"/>
  <c r="H194" i="4"/>
  <c r="H195" i="4"/>
  <c r="H198" i="4"/>
  <c r="H199" i="4"/>
  <c r="H206" i="4"/>
  <c r="H207" i="4"/>
  <c r="H252" i="4"/>
  <c r="H253" i="4"/>
  <c r="H269" i="4"/>
  <c r="H272" i="4"/>
  <c r="H273" i="4"/>
  <c r="H275" i="4"/>
  <c r="H276" i="4"/>
  <c r="H277" i="4"/>
  <c r="H291" i="4"/>
  <c r="H293" i="4"/>
  <c r="H294" i="4"/>
  <c r="H295" i="4"/>
  <c r="H304" i="4"/>
  <c r="H305" i="4"/>
  <c r="H308" i="4"/>
  <c r="H309" i="4"/>
  <c r="H312" i="4"/>
  <c r="H314" i="4"/>
  <c r="H315" i="4"/>
  <c r="H318" i="4"/>
  <c r="H319" i="4"/>
  <c r="H328" i="4"/>
  <c r="H329" i="4"/>
  <c r="H330" i="4"/>
  <c r="H339" i="4"/>
  <c r="H468" i="4"/>
  <c r="H521" i="4"/>
  <c r="H522" i="4"/>
  <c r="H551" i="4"/>
  <c r="H552" i="4"/>
  <c r="H553" i="4"/>
  <c r="H565" i="4"/>
  <c r="H570" i="4"/>
  <c r="F920" i="4"/>
  <c r="H920" i="4" s="1"/>
  <c r="F907" i="4"/>
  <c r="H907" i="4" s="1"/>
  <c r="E922" i="4"/>
  <c r="G919" i="4"/>
  <c r="G118" i="4"/>
  <c r="G44" i="4"/>
  <c r="G327" i="4"/>
  <c r="G52" i="4"/>
  <c r="G122" i="4"/>
  <c r="G657" i="4"/>
  <c r="G131" i="4"/>
  <c r="G130" i="4"/>
  <c r="G129" i="4"/>
  <c r="G73" i="4"/>
  <c r="G812" i="4"/>
  <c r="G784" i="4"/>
  <c r="G783" i="4" s="1"/>
  <c r="G780" i="4"/>
  <c r="G770" i="4"/>
  <c r="G772" i="4"/>
  <c r="G771" i="4"/>
  <c r="G1039" i="4"/>
  <c r="G690" i="4"/>
  <c r="G332" i="4"/>
  <c r="H332" i="4" s="1"/>
  <c r="G331" i="4"/>
  <c r="G39" i="4"/>
  <c r="G645" i="4"/>
  <c r="G233" i="4"/>
  <c r="G264" i="4"/>
  <c r="G628" i="4"/>
  <c r="G676" i="4"/>
  <c r="G120" i="4"/>
  <c r="G935" i="4"/>
  <c r="G344" i="4"/>
  <c r="H786" i="4" l="1"/>
  <c r="G918" i="4"/>
  <c r="F919" i="4"/>
  <c r="F918" i="4" s="1"/>
  <c r="F917" i="4" s="1"/>
  <c r="F922" i="4" s="1"/>
  <c r="G893" i="4"/>
  <c r="F1086" i="4"/>
  <c r="G794" i="4"/>
  <c r="G775" i="4"/>
  <c r="G776" i="4"/>
  <c r="G837" i="4"/>
  <c r="G836" i="4"/>
  <c r="H919" i="4" l="1"/>
  <c r="G917" i="4"/>
  <c r="H918" i="4"/>
  <c r="F676" i="4"/>
  <c r="H676" i="4" s="1"/>
  <c r="F657" i="4"/>
  <c r="H657" i="4" s="1"/>
  <c r="F13" i="4"/>
  <c r="H13" i="4" s="1"/>
  <c r="F628" i="4"/>
  <c r="H628" i="4" s="1"/>
  <c r="G627" i="4"/>
  <c r="E627" i="4"/>
  <c r="E626" i="4" s="1"/>
  <c r="E625" i="4" s="1"/>
  <c r="G626" i="4"/>
  <c r="F618" i="4"/>
  <c r="F645" i="4"/>
  <c r="H645" i="4" s="1"/>
  <c r="G675" i="4"/>
  <c r="E675" i="4"/>
  <c r="E674" i="4" s="1"/>
  <c r="E673" i="4" s="1"/>
  <c r="F640" i="4"/>
  <c r="F264" i="4"/>
  <c r="F31" i="4"/>
  <c r="F1039" i="4"/>
  <c r="H1039" i="4" s="1"/>
  <c r="F1040" i="4"/>
  <c r="G623" i="4"/>
  <c r="G834" i="4"/>
  <c r="H834" i="4" s="1"/>
  <c r="G625" i="4" l="1"/>
  <c r="H264" i="4"/>
  <c r="G674" i="4"/>
  <c r="G922" i="4"/>
  <c r="H922" i="4" s="1"/>
  <c r="H917" i="4"/>
  <c r="F627" i="4"/>
  <c r="F626" i="4" s="1"/>
  <c r="F625" i="4" s="1"/>
  <c r="F675" i="4"/>
  <c r="F674" i="4" s="1"/>
  <c r="F673" i="4" s="1"/>
  <c r="G48" i="4"/>
  <c r="H626" i="4" l="1"/>
  <c r="H675" i="4"/>
  <c r="G673" i="4"/>
  <c r="H673" i="4" s="1"/>
  <c r="H674" i="4"/>
  <c r="H627" i="4"/>
  <c r="H625" i="4"/>
  <c r="G1074" i="4"/>
  <c r="H1074" i="4" s="1"/>
  <c r="G813" i="4"/>
  <c r="G621" i="4" l="1"/>
  <c r="G818" i="4"/>
  <c r="G179" i="4"/>
  <c r="G530" i="4"/>
  <c r="E909" i="4"/>
  <c r="G906" i="4"/>
  <c r="G810" i="4"/>
  <c r="G496" i="4"/>
  <c r="H496" i="4" s="1"/>
  <c r="G450" i="4"/>
  <c r="G708" i="4"/>
  <c r="G705" i="4"/>
  <c r="H705" i="4" s="1"/>
  <c r="G833" i="4"/>
  <c r="F837" i="4"/>
  <c r="H837" i="4" s="1"/>
  <c r="F836" i="4"/>
  <c r="H836" i="4" s="1"/>
  <c r="F810" i="4"/>
  <c r="F809" i="4"/>
  <c r="F790" i="4"/>
  <c r="F772" i="4"/>
  <c r="H772" i="4" s="1"/>
  <c r="F771" i="4"/>
  <c r="H771" i="4" s="1"/>
  <c r="F770" i="4"/>
  <c r="H770" i="4" s="1"/>
  <c r="F548" i="4"/>
  <c r="H548" i="4" s="1"/>
  <c r="F547" i="4"/>
  <c r="F390" i="4"/>
  <c r="F388" i="4"/>
  <c r="F73" i="4"/>
  <c r="H73" i="4" s="1"/>
  <c r="F72" i="4"/>
  <c r="G282" i="4"/>
  <c r="G154" i="4"/>
  <c r="F622" i="4"/>
  <c r="F623" i="4"/>
  <c r="H623" i="4" s="1"/>
  <c r="G354" i="4"/>
  <c r="G485" i="4"/>
  <c r="G479" i="4"/>
  <c r="G483" i="4"/>
  <c r="G142" i="4"/>
  <c r="G60" i="4"/>
  <c r="H60" i="4" s="1"/>
  <c r="G61" i="4"/>
  <c r="H61" i="4" s="1"/>
  <c r="G447" i="4"/>
  <c r="G767" i="4"/>
  <c r="G173" i="4"/>
  <c r="G174" i="4"/>
  <c r="G527" i="4"/>
  <c r="G534" i="4"/>
  <c r="G491" i="4"/>
  <c r="G1038" i="4"/>
  <c r="F559" i="4"/>
  <c r="F533" i="4"/>
  <c r="H533" i="4" s="1"/>
  <c r="F532" i="4"/>
  <c r="F531" i="4"/>
  <c r="F530" i="4"/>
  <c r="F529" i="4"/>
  <c r="F528" i="4"/>
  <c r="F467" i="4"/>
  <c r="H467" i="4" s="1"/>
  <c r="F460" i="4"/>
  <c r="F450" i="4"/>
  <c r="F391" i="4"/>
  <c r="F366" i="4"/>
  <c r="H366" i="4" s="1"/>
  <c r="F353" i="4"/>
  <c r="H353" i="4" s="1"/>
  <c r="F237" i="4"/>
  <c r="H237" i="4" s="1"/>
  <c r="F231" i="4"/>
  <c r="F230" i="4"/>
  <c r="H230" i="4" s="1"/>
  <c r="F223" i="4"/>
  <c r="F190" i="4"/>
  <c r="F186" i="4"/>
  <c r="F174" i="4"/>
  <c r="F173" i="4"/>
  <c r="F154" i="4"/>
  <c r="F153" i="4"/>
  <c r="F152" i="4"/>
  <c r="F149" i="4"/>
  <c r="F136" i="4"/>
  <c r="F131" i="4"/>
  <c r="H131" i="4" s="1"/>
  <c r="F130" i="4"/>
  <c r="H130" i="4" s="1"/>
  <c r="F129" i="4"/>
  <c r="H129" i="4" s="1"/>
  <c r="F120" i="4"/>
  <c r="H120" i="4" s="1"/>
  <c r="F51" i="4"/>
  <c r="F48" i="4"/>
  <c r="H48" i="4" s="1"/>
  <c r="F47" i="4"/>
  <c r="F44" i="4"/>
  <c r="H44" i="4" s="1"/>
  <c r="F41" i="4"/>
  <c r="F39" i="4"/>
  <c r="H39" i="4" s="1"/>
  <c r="F35" i="4"/>
  <c r="H35" i="4" s="1"/>
  <c r="F621" i="4"/>
  <c r="G617" i="4"/>
  <c r="G535" i="4"/>
  <c r="G558" i="4"/>
  <c r="G947" i="4"/>
  <c r="H947" i="4" s="1"/>
  <c r="G469" i="4"/>
  <c r="H469" i="4" s="1"/>
  <c r="G507" i="4"/>
  <c r="G509" i="4"/>
  <c r="H509" i="4" s="1"/>
  <c r="G466" i="4"/>
  <c r="G388" i="4"/>
  <c r="H388" i="4" s="1"/>
  <c r="G432" i="4"/>
  <c r="G945" i="4"/>
  <c r="G825" i="4"/>
  <c r="F1044" i="4"/>
  <c r="H174" i="4" l="1"/>
  <c r="H450" i="4"/>
  <c r="H810" i="4"/>
  <c r="H621" i="4"/>
  <c r="H173" i="4"/>
  <c r="H154" i="4"/>
  <c r="H530" i="4"/>
  <c r="G905" i="4"/>
  <c r="F71" i="4"/>
  <c r="F833" i="4"/>
  <c r="F832" i="4" s="1"/>
  <c r="F906" i="4"/>
  <c r="F1038" i="4"/>
  <c r="F620" i="4"/>
  <c r="F617" i="4"/>
  <c r="G563" i="4"/>
  <c r="G1086" i="4"/>
  <c r="G223" i="4"/>
  <c r="G323" i="4"/>
  <c r="G481" i="4"/>
  <c r="G495" i="4"/>
  <c r="H495" i="4" s="1"/>
  <c r="G403" i="4"/>
  <c r="G402" i="4"/>
  <c r="G400" i="4"/>
  <c r="G401" i="4"/>
  <c r="H401" i="4" s="1"/>
  <c r="G395" i="4"/>
  <c r="G72" i="4"/>
  <c r="G659" i="4"/>
  <c r="F660" i="4"/>
  <c r="G452" i="4"/>
  <c r="H452" i="4" s="1"/>
  <c r="G451" i="4"/>
  <c r="H451" i="4" s="1"/>
  <c r="G394" i="4"/>
  <c r="G406" i="4"/>
  <c r="H406" i="4" s="1"/>
  <c r="G689" i="4"/>
  <c r="F558" i="4"/>
  <c r="H558" i="4" s="1"/>
  <c r="G396" i="4"/>
  <c r="F707" i="4"/>
  <c r="F696" i="4"/>
  <c r="F695" i="4"/>
  <c r="F708" i="4"/>
  <c r="H708" i="4" s="1"/>
  <c r="F656" i="4"/>
  <c r="F653" i="4"/>
  <c r="F644" i="4"/>
  <c r="F643" i="4" s="1"/>
  <c r="G817" i="4"/>
  <c r="F818" i="4"/>
  <c r="F817" i="4" s="1"/>
  <c r="F816" i="4" s="1"/>
  <c r="F821" i="4"/>
  <c r="G821" i="4"/>
  <c r="F813" i="4"/>
  <c r="H813" i="4" s="1"/>
  <c r="F812" i="4"/>
  <c r="H812" i="4" s="1"/>
  <c r="F794" i="4"/>
  <c r="F784" i="4"/>
  <c r="F783" i="4" s="1"/>
  <c r="E782" i="4"/>
  <c r="F780" i="4"/>
  <c r="H780" i="4" s="1"/>
  <c r="F776" i="4"/>
  <c r="H776" i="4" s="1"/>
  <c r="F775" i="4"/>
  <c r="H775" i="4" s="1"/>
  <c r="F774" i="4"/>
  <c r="G1073" i="4"/>
  <c r="E1073" i="4"/>
  <c r="E1072" i="4" s="1"/>
  <c r="E1071" i="4" s="1"/>
  <c r="E1076" i="4" s="1"/>
  <c r="G605" i="4"/>
  <c r="F607" i="4"/>
  <c r="H607" i="4" s="1"/>
  <c r="F935" i="4"/>
  <c r="G892" i="4"/>
  <c r="F893" i="4"/>
  <c r="H893" i="4" s="1"/>
  <c r="E895" i="4"/>
  <c r="F563" i="4"/>
  <c r="F562" i="4" s="1"/>
  <c r="F535" i="4"/>
  <c r="H535" i="4" s="1"/>
  <c r="F534" i="4"/>
  <c r="H534" i="4" s="1"/>
  <c r="F527" i="4"/>
  <c r="H527" i="4" s="1"/>
  <c r="F485" i="4"/>
  <c r="H485" i="4" s="1"/>
  <c r="F483" i="4"/>
  <c r="H483" i="4" s="1"/>
  <c r="F481" i="4"/>
  <c r="F479" i="4"/>
  <c r="H479" i="4" s="1"/>
  <c r="F477" i="4"/>
  <c r="F475" i="4"/>
  <c r="F473" i="4"/>
  <c r="F466" i="4"/>
  <c r="H466" i="4" s="1"/>
  <c r="F445" i="4"/>
  <c r="H445" i="4" s="1"/>
  <c r="F444" i="4"/>
  <c r="F429" i="4"/>
  <c r="F428" i="4"/>
  <c r="F427" i="4"/>
  <c r="F415" i="4"/>
  <c r="F411" i="4"/>
  <c r="F410" i="4"/>
  <c r="F389" i="4"/>
  <c r="F348" i="4"/>
  <c r="F240" i="4"/>
  <c r="F238" i="4"/>
  <c r="F232" i="4"/>
  <c r="G181" i="4"/>
  <c r="F183" i="4"/>
  <c r="H183" i="4" s="1"/>
  <c r="F157" i="4"/>
  <c r="F126" i="4"/>
  <c r="H126" i="4" s="1"/>
  <c r="F125" i="4"/>
  <c r="H125" i="4" s="1"/>
  <c r="F118" i="4"/>
  <c r="F103" i="4"/>
  <c r="F52" i="4"/>
  <c r="H52" i="4" s="1"/>
  <c r="F33" i="4"/>
  <c r="F234" i="4"/>
  <c r="H234" i="4" s="1"/>
  <c r="G549" i="4"/>
  <c r="G415" i="4"/>
  <c r="G671" i="4"/>
  <c r="G114" i="4"/>
  <c r="F114" i="4"/>
  <c r="F113" i="4"/>
  <c r="G47" i="4"/>
  <c r="H47" i="4" s="1"/>
  <c r="G263" i="4"/>
  <c r="G286" i="4"/>
  <c r="G31" i="4"/>
  <c r="H31" i="4" s="1"/>
  <c r="G973" i="4"/>
  <c r="G573" i="4"/>
  <c r="H573" i="4" s="1"/>
  <c r="G572" i="4"/>
  <c r="H572" i="4" s="1"/>
  <c r="G700" i="4"/>
  <c r="H700" i="4" s="1"/>
  <c r="F432" i="4"/>
  <c r="H432" i="4" s="1"/>
  <c r="F491" i="4"/>
  <c r="H491" i="4" s="1"/>
  <c r="G393" i="4"/>
  <c r="F438" i="4"/>
  <c r="F417" i="4"/>
  <c r="F403" i="4"/>
  <c r="F402" i="4"/>
  <c r="F404" i="4"/>
  <c r="F359" i="4"/>
  <c r="F358" i="4"/>
  <c r="F331" i="4"/>
  <c r="H331" i="4" s="1"/>
  <c r="F327" i="4"/>
  <c r="H327" i="4" s="1"/>
  <c r="F249" i="4"/>
  <c r="F1058" i="4"/>
  <c r="F1057" i="4" s="1"/>
  <c r="G355" i="4"/>
  <c r="F145" i="4"/>
  <c r="F144" i="4"/>
  <c r="F143" i="4"/>
  <c r="F138" i="4"/>
  <c r="F137" i="4"/>
  <c r="F122" i="4"/>
  <c r="H122" i="4" s="1"/>
  <c r="F245" i="4"/>
  <c r="F219" i="4"/>
  <c r="F218" i="4" s="1"/>
  <c r="F244" i="4"/>
  <c r="G392" i="4"/>
  <c r="G559" i="4"/>
  <c r="G150" i="4"/>
  <c r="F484" i="4"/>
  <c r="F119" i="4"/>
  <c r="F121" i="4"/>
  <c r="F123" i="4"/>
  <c r="F124" i="4"/>
  <c r="G426" i="4"/>
  <c r="G439" i="4"/>
  <c r="G41" i="4"/>
  <c r="H41" i="4" s="1"/>
  <c r="G546" i="4"/>
  <c r="G453" i="4"/>
  <c r="H453" i="4" s="1"/>
  <c r="G260" i="4"/>
  <c r="G256" i="4"/>
  <c r="G409" i="4"/>
  <c r="G410" i="4"/>
  <c r="G411" i="4"/>
  <c r="G413" i="4"/>
  <c r="G414" i="4"/>
  <c r="G416" i="4"/>
  <c r="G417" i="4"/>
  <c r="G418" i="4"/>
  <c r="G419" i="4"/>
  <c r="G420" i="4"/>
  <c r="G421" i="4"/>
  <c r="G422" i="4"/>
  <c r="G425" i="4"/>
  <c r="G427" i="4"/>
  <c r="G428" i="4"/>
  <c r="G429" i="4"/>
  <c r="G430" i="4"/>
  <c r="G431" i="4"/>
  <c r="G433" i="4"/>
  <c r="G435" i="4"/>
  <c r="G436" i="4"/>
  <c r="G442" i="4"/>
  <c r="G443" i="4"/>
  <c r="G448" i="4"/>
  <c r="G378" i="4"/>
  <c r="G380" i="4"/>
  <c r="G381" i="4"/>
  <c r="G384" i="4"/>
  <c r="G385" i="4"/>
  <c r="G386" i="4"/>
  <c r="G387" i="4"/>
  <c r="G389" i="4"/>
  <c r="G390" i="4"/>
  <c r="H390" i="4" s="1"/>
  <c r="G391" i="4"/>
  <c r="H391" i="4" s="1"/>
  <c r="G405" i="4"/>
  <c r="H405" i="4" s="1"/>
  <c r="G351" i="4"/>
  <c r="G352" i="4"/>
  <c r="G356" i="4"/>
  <c r="G357" i="4"/>
  <c r="H357" i="4" s="1"/>
  <c r="G360" i="4"/>
  <c r="G361" i="4"/>
  <c r="G362" i="4"/>
  <c r="G363" i="4"/>
  <c r="G364" i="4"/>
  <c r="G365" i="4"/>
  <c r="G370" i="4"/>
  <c r="G371" i="4"/>
  <c r="G373" i="4"/>
  <c r="G374" i="4"/>
  <c r="G457" i="4"/>
  <c r="G460" i="4"/>
  <c r="H460" i="4" s="1"/>
  <c r="G472" i="4"/>
  <c r="H472" i="4" s="1"/>
  <c r="G473" i="4"/>
  <c r="G474" i="4"/>
  <c r="H474" i="4" s="1"/>
  <c r="G475" i="4"/>
  <c r="G477" i="4"/>
  <c r="G487" i="4"/>
  <c r="G492" i="4"/>
  <c r="H492" i="4" s="1"/>
  <c r="G493" i="4"/>
  <c r="H493" i="4" s="1"/>
  <c r="G499" i="4"/>
  <c r="H499" i="4" s="1"/>
  <c r="G500" i="4"/>
  <c r="G501" i="4"/>
  <c r="H501" i="4" s="1"/>
  <c r="G502" i="4"/>
  <c r="H502" i="4" s="1"/>
  <c r="G503" i="4"/>
  <c r="H503" i="4" s="1"/>
  <c r="G504" i="4"/>
  <c r="H504" i="4" s="1"/>
  <c r="G505" i="4"/>
  <c r="H505" i="4" s="1"/>
  <c r="G506" i="4"/>
  <c r="H506" i="4" s="1"/>
  <c r="G508" i="4"/>
  <c r="G512" i="4"/>
  <c r="G513" i="4"/>
  <c r="G337" i="4"/>
  <c r="G338" i="4"/>
  <c r="G517" i="4"/>
  <c r="G520" i="4"/>
  <c r="G525" i="4"/>
  <c r="G528" i="4"/>
  <c r="H528" i="4" s="1"/>
  <c r="G529" i="4"/>
  <c r="H529" i="4" s="1"/>
  <c r="G531" i="4"/>
  <c r="H531" i="4" s="1"/>
  <c r="G532" i="4"/>
  <c r="H532" i="4" s="1"/>
  <c r="G537" i="4"/>
  <c r="G541" i="4"/>
  <c r="G540" i="4" s="1"/>
  <c r="G157" i="4"/>
  <c r="G158" i="4"/>
  <c r="G160" i="4"/>
  <c r="G165" i="4"/>
  <c r="G38" i="4"/>
  <c r="G42" i="4"/>
  <c r="G45" i="4"/>
  <c r="G46" i="4"/>
  <c r="G17" i="4"/>
  <c r="G20" i="4"/>
  <c r="G25" i="4"/>
  <c r="G50" i="4"/>
  <c r="G119" i="4"/>
  <c r="G121" i="4"/>
  <c r="G123" i="4"/>
  <c r="G124" i="4"/>
  <c r="G128" i="4"/>
  <c r="G58" i="4"/>
  <c r="G64" i="4"/>
  <c r="G65" i="4"/>
  <c r="G66" i="4"/>
  <c r="G68" i="4"/>
  <c r="G81" i="4"/>
  <c r="G82" i="4"/>
  <c r="G83" i="4"/>
  <c r="G95" i="4"/>
  <c r="G108" i="4"/>
  <c r="G135" i="4"/>
  <c r="G140" i="4"/>
  <c r="G169" i="4"/>
  <c r="G178" i="4"/>
  <c r="G193" i="4"/>
  <c r="G197" i="4"/>
  <c r="G188" i="4"/>
  <c r="G202" i="4"/>
  <c r="G205" i="4"/>
  <c r="G209" i="4"/>
  <c r="G212" i="4"/>
  <c r="G213" i="4"/>
  <c r="G214" i="4"/>
  <c r="G215" i="4"/>
  <c r="G216" i="4"/>
  <c r="G218" i="4"/>
  <c r="G229" i="4"/>
  <c r="G236" i="4"/>
  <c r="G239" i="4"/>
  <c r="G241" i="4"/>
  <c r="G243" i="4"/>
  <c r="G244" i="4"/>
  <c r="G248" i="4"/>
  <c r="G251" i="4"/>
  <c r="G271" i="4"/>
  <c r="G274" i="4"/>
  <c r="G280" i="4"/>
  <c r="G292" i="4"/>
  <c r="G298" i="4"/>
  <c r="G300" i="4"/>
  <c r="G303" i="4"/>
  <c r="G307" i="4"/>
  <c r="G311" i="4"/>
  <c r="G313" i="4"/>
  <c r="G317" i="4"/>
  <c r="G566" i="4"/>
  <c r="G569" i="4"/>
  <c r="H569" i="4" s="1"/>
  <c r="G695" i="4"/>
  <c r="G696" i="4"/>
  <c r="G707" i="4"/>
  <c r="G709" i="4"/>
  <c r="G712" i="4"/>
  <c r="G711" i="4" s="1"/>
  <c r="G640" i="4"/>
  <c r="G644" i="4"/>
  <c r="G647" i="4"/>
  <c r="G652" i="4"/>
  <c r="G656" i="4"/>
  <c r="G662" i="4"/>
  <c r="G667" i="4"/>
  <c r="G679" i="4"/>
  <c r="G682" i="4"/>
  <c r="G685" i="4"/>
  <c r="G622" i="4"/>
  <c r="H622" i="4" s="1"/>
  <c r="G586" i="4"/>
  <c r="G585" i="4" s="1"/>
  <c r="G584" i="4" s="1"/>
  <c r="G589" i="4" s="1"/>
  <c r="G597" i="4"/>
  <c r="G601" i="4"/>
  <c r="G766" i="4"/>
  <c r="G769" i="4"/>
  <c r="G779" i="4"/>
  <c r="G789" i="4"/>
  <c r="G788" i="4" s="1"/>
  <c r="G798" i="4"/>
  <c r="G803" i="4"/>
  <c r="G808" i="4"/>
  <c r="G829" i="4"/>
  <c r="G832" i="4"/>
  <c r="G840" i="4"/>
  <c r="G752" i="4"/>
  <c r="G751" i="4" s="1"/>
  <c r="G750" i="4" s="1"/>
  <c r="G756" i="4" s="1"/>
  <c r="G728" i="4"/>
  <c r="G727" i="4" s="1"/>
  <c r="G726" i="4" s="1"/>
  <c r="G730" i="4" s="1"/>
  <c r="G740" i="4"/>
  <c r="G739" i="4" s="1"/>
  <c r="G738" i="4" s="1"/>
  <c r="G742" i="4" s="1"/>
  <c r="G932" i="4"/>
  <c r="G934" i="4"/>
  <c r="G938" i="4"/>
  <c r="G946" i="4"/>
  <c r="G961" i="4"/>
  <c r="G1035" i="4"/>
  <c r="G1043" i="4"/>
  <c r="G1042" i="4" s="1"/>
  <c r="G1057" i="4"/>
  <c r="G1056" i="4" s="1"/>
  <c r="G1061" i="4"/>
  <c r="G1060" i="4" s="1"/>
  <c r="H587" i="4"/>
  <c r="H588" i="4"/>
  <c r="H753" i="4"/>
  <c r="H754" i="4"/>
  <c r="H729" i="4"/>
  <c r="H728" i="4" s="1"/>
  <c r="H727" i="4" s="1"/>
  <c r="H726" i="4" s="1"/>
  <c r="H730" i="4" s="1"/>
  <c r="H741" i="4"/>
  <c r="H740" i="4" s="1"/>
  <c r="H739" i="4" s="1"/>
  <c r="H995" i="4"/>
  <c r="H994" i="4" s="1"/>
  <c r="H993" i="4" s="1"/>
  <c r="H992" i="4" s="1"/>
  <c r="H996" i="4" s="1"/>
  <c r="F263" i="4"/>
  <c r="F261" i="4"/>
  <c r="F260" i="4" s="1"/>
  <c r="F257" i="4"/>
  <c r="F439" i="4"/>
  <c r="F426" i="4"/>
  <c r="F409" i="4"/>
  <c r="F412" i="4"/>
  <c r="F413" i="4"/>
  <c r="F414" i="4"/>
  <c r="F416" i="4"/>
  <c r="F418" i="4"/>
  <c r="F419" i="4"/>
  <c r="F420" i="4"/>
  <c r="F421" i="4"/>
  <c r="F422" i="4"/>
  <c r="F423" i="4"/>
  <c r="H423" i="4" s="1"/>
  <c r="F424" i="4"/>
  <c r="F425" i="4"/>
  <c r="F430" i="4"/>
  <c r="F431" i="4"/>
  <c r="F433" i="4"/>
  <c r="F434" i="4"/>
  <c r="H434" i="4" s="1"/>
  <c r="F435" i="4"/>
  <c r="F436" i="4"/>
  <c r="F437" i="4"/>
  <c r="F440" i="4"/>
  <c r="F441" i="4"/>
  <c r="F442" i="4"/>
  <c r="F443" i="4"/>
  <c r="F446" i="4"/>
  <c r="F447" i="4"/>
  <c r="H447" i="4" s="1"/>
  <c r="F448" i="4"/>
  <c r="F449" i="4"/>
  <c r="H449" i="4" s="1"/>
  <c r="F396" i="4"/>
  <c r="F377" i="4"/>
  <c r="H377" i="4" s="1"/>
  <c r="F378" i="4"/>
  <c r="F379" i="4"/>
  <c r="F380" i="4"/>
  <c r="F381" i="4"/>
  <c r="F382" i="4"/>
  <c r="F383" i="4"/>
  <c r="F384" i="4"/>
  <c r="F385" i="4"/>
  <c r="F386" i="4"/>
  <c r="F387" i="4"/>
  <c r="F392" i="4"/>
  <c r="F393" i="4"/>
  <c r="F394" i="4"/>
  <c r="F395" i="4"/>
  <c r="F397" i="4"/>
  <c r="F398" i="4"/>
  <c r="F399" i="4"/>
  <c r="F400" i="4"/>
  <c r="F355" i="4"/>
  <c r="F344" i="4"/>
  <c r="F345" i="4"/>
  <c r="F346" i="4"/>
  <c r="F347" i="4"/>
  <c r="F349" i="4"/>
  <c r="F350" i="4"/>
  <c r="F351" i="4"/>
  <c r="F352" i="4"/>
  <c r="F354" i="4"/>
  <c r="H354" i="4" s="1"/>
  <c r="F356" i="4"/>
  <c r="F360" i="4"/>
  <c r="F361" i="4"/>
  <c r="F362" i="4"/>
  <c r="F363" i="4"/>
  <c r="F364" i="4"/>
  <c r="F365" i="4"/>
  <c r="F367" i="4"/>
  <c r="H367" i="4" s="1"/>
  <c r="F368" i="4"/>
  <c r="F369" i="4"/>
  <c r="H369" i="4" s="1"/>
  <c r="F370" i="4"/>
  <c r="F371" i="4"/>
  <c r="F372" i="4"/>
  <c r="F373" i="4"/>
  <c r="F374" i="4"/>
  <c r="F456" i="4"/>
  <c r="F457" i="4"/>
  <c r="F458" i="4"/>
  <c r="H458" i="4" s="1"/>
  <c r="F459" i="4"/>
  <c r="F461" i="4"/>
  <c r="F462" i="4"/>
  <c r="H462" i="4" s="1"/>
  <c r="F463" i="4"/>
  <c r="F464" i="4"/>
  <c r="F476" i="4"/>
  <c r="F478" i="4"/>
  <c r="F480" i="4"/>
  <c r="F482" i="4"/>
  <c r="F486" i="4"/>
  <c r="F487" i="4"/>
  <c r="F488" i="4"/>
  <c r="F494" i="4"/>
  <c r="F500" i="4"/>
  <c r="F507" i="4"/>
  <c r="H507" i="4" s="1"/>
  <c r="F508" i="4"/>
  <c r="F512" i="4"/>
  <c r="F513" i="4"/>
  <c r="F546" i="4"/>
  <c r="F549" i="4"/>
  <c r="F337" i="4"/>
  <c r="F336" i="4" s="1"/>
  <c r="F517" i="4"/>
  <c r="F520" i="4"/>
  <c r="F519" i="4" s="1"/>
  <c r="F525" i="4"/>
  <c r="F542" i="4"/>
  <c r="F541" i="4" s="1"/>
  <c r="F540" i="4" s="1"/>
  <c r="F556" i="4"/>
  <c r="F557" i="4"/>
  <c r="F150" i="4"/>
  <c r="F158" i="4"/>
  <c r="F165" i="4"/>
  <c r="F164" i="4" s="1"/>
  <c r="F29" i="4"/>
  <c r="F30" i="4"/>
  <c r="F32" i="4"/>
  <c r="F38" i="4"/>
  <c r="F40" i="4"/>
  <c r="F42" i="4"/>
  <c r="F43" i="4"/>
  <c r="F45" i="4"/>
  <c r="F46" i="4"/>
  <c r="F64" i="4"/>
  <c r="F65" i="4"/>
  <c r="F66" i="4"/>
  <c r="F69" i="4"/>
  <c r="H69" i="4" s="1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4" i="4"/>
  <c r="F109" i="4"/>
  <c r="F135" i="4"/>
  <c r="F141" i="4"/>
  <c r="F142" i="4"/>
  <c r="H142" i="4" s="1"/>
  <c r="F172" i="4"/>
  <c r="H172" i="4" s="1"/>
  <c r="F179" i="4"/>
  <c r="F178" i="4" s="1"/>
  <c r="F177" i="4" s="1"/>
  <c r="F176" i="4" s="1"/>
  <c r="F185" i="4"/>
  <c r="F189" i="4"/>
  <c r="F188" i="4" s="1"/>
  <c r="F203" i="4"/>
  <c r="H203" i="4" s="1"/>
  <c r="F210" i="4"/>
  <c r="H210" i="4" s="1"/>
  <c r="F212" i="4"/>
  <c r="F213" i="4"/>
  <c r="F214" i="4"/>
  <c r="F215" i="4"/>
  <c r="F216" i="4"/>
  <c r="F224" i="4"/>
  <c r="F227" i="4"/>
  <c r="F228" i="4"/>
  <c r="F229" i="4"/>
  <c r="F233" i="4"/>
  <c r="H233" i="4" s="1"/>
  <c r="F235" i="4"/>
  <c r="H235" i="4" s="1"/>
  <c r="F236" i="4"/>
  <c r="F239" i="4"/>
  <c r="F241" i="4"/>
  <c r="F242" i="4"/>
  <c r="F243" i="4"/>
  <c r="F282" i="4"/>
  <c r="H282" i="4" s="1"/>
  <c r="F285" i="4"/>
  <c r="H285" i="4" s="1"/>
  <c r="F286" i="4"/>
  <c r="F298" i="4"/>
  <c r="F301" i="4"/>
  <c r="F326" i="4"/>
  <c r="F567" i="4"/>
  <c r="H567" i="4" s="1"/>
  <c r="F571" i="4"/>
  <c r="F702" i="4"/>
  <c r="F694" i="4"/>
  <c r="F697" i="4"/>
  <c r="F698" i="4"/>
  <c r="F699" i="4"/>
  <c r="F701" i="4"/>
  <c r="F703" i="4"/>
  <c r="F704" i="4"/>
  <c r="F706" i="4"/>
  <c r="F709" i="4"/>
  <c r="F710" i="4"/>
  <c r="F641" i="4"/>
  <c r="F652" i="4"/>
  <c r="F671" i="4"/>
  <c r="F670" i="4" s="1"/>
  <c r="F690" i="4"/>
  <c r="H690" i="4" s="1"/>
  <c r="F606" i="4"/>
  <c r="H606" i="4" s="1"/>
  <c r="F767" i="4"/>
  <c r="F766" i="4" s="1"/>
  <c r="F773" i="4"/>
  <c r="F825" i="4"/>
  <c r="F824" i="4" s="1"/>
  <c r="F973" i="4"/>
  <c r="F972" i="4" s="1"/>
  <c r="F971" i="4" s="1"/>
  <c r="F970" i="4" s="1"/>
  <c r="F974" i="4" s="1"/>
  <c r="F1085" i="4"/>
  <c r="F938" i="4"/>
  <c r="F937" i="4" s="1"/>
  <c r="F936" i="4" s="1"/>
  <c r="F945" i="4"/>
  <c r="H945" i="4" s="1"/>
  <c r="F946" i="4"/>
  <c r="F17" i="4"/>
  <c r="F12" i="4" s="1"/>
  <c r="F20" i="4"/>
  <c r="F25" i="4"/>
  <c r="F58" i="4"/>
  <c r="F160" i="4"/>
  <c r="F169" i="4"/>
  <c r="F193" i="4"/>
  <c r="F192" i="4" s="1"/>
  <c r="F197" i="4"/>
  <c r="F196" i="4" s="1"/>
  <c r="F205" i="4"/>
  <c r="F251" i="4"/>
  <c r="F271" i="4"/>
  <c r="F274" i="4"/>
  <c r="F292" i="4"/>
  <c r="F289" i="4" s="1"/>
  <c r="F303" i="4"/>
  <c r="F307" i="4"/>
  <c r="F306" i="4" s="1"/>
  <c r="F311" i="4"/>
  <c r="F313" i="4"/>
  <c r="F317" i="4"/>
  <c r="F316" i="4" s="1"/>
  <c r="F322" i="4"/>
  <c r="F338" i="4"/>
  <c r="F537" i="4"/>
  <c r="F568" i="4"/>
  <c r="F647" i="4"/>
  <c r="F662" i="4"/>
  <c r="F667" i="4"/>
  <c r="F679" i="4"/>
  <c r="F682" i="4"/>
  <c r="F685" i="4"/>
  <c r="F712" i="4"/>
  <c r="F711" i="4" s="1"/>
  <c r="F586" i="4"/>
  <c r="F585" i="4" s="1"/>
  <c r="F584" i="4" s="1"/>
  <c r="F589" i="4" s="1"/>
  <c r="F597" i="4"/>
  <c r="F596" i="4" s="1"/>
  <c r="F601" i="4"/>
  <c r="F600" i="4" s="1"/>
  <c r="F798" i="4"/>
  <c r="F797" i="4" s="1"/>
  <c r="F803" i="4"/>
  <c r="F802" i="4" s="1"/>
  <c r="F829" i="4"/>
  <c r="F828" i="4" s="1"/>
  <c r="F840" i="4"/>
  <c r="F839" i="4" s="1"/>
  <c r="F752" i="4"/>
  <c r="F751" i="4" s="1"/>
  <c r="F750" i="4" s="1"/>
  <c r="F756" i="4" s="1"/>
  <c r="F728" i="4"/>
  <c r="F727" i="4" s="1"/>
  <c r="F726" i="4" s="1"/>
  <c r="F730" i="4" s="1"/>
  <c r="F740" i="4"/>
  <c r="F739" i="4" s="1"/>
  <c r="F738" i="4" s="1"/>
  <c r="F742" i="4" s="1"/>
  <c r="F932" i="4"/>
  <c r="F961" i="4"/>
  <c r="F960" i="4" s="1"/>
  <c r="F959" i="4" s="1"/>
  <c r="F963" i="4" s="1"/>
  <c r="F1035" i="4"/>
  <c r="F1061" i="4"/>
  <c r="F1060" i="4" s="1"/>
  <c r="E1035" i="4"/>
  <c r="E1034" i="4" s="1"/>
  <c r="E1033" i="4" s="1"/>
  <c r="E1057" i="4"/>
  <c r="E1056" i="4" s="1"/>
  <c r="E1061" i="4"/>
  <c r="E1060" i="4" s="1"/>
  <c r="E480" i="4"/>
  <c r="E59" i="4"/>
  <c r="E58" i="4" s="1"/>
  <c r="E64" i="4"/>
  <c r="E65" i="4"/>
  <c r="E66" i="4"/>
  <c r="E300" i="4"/>
  <c r="E284" i="4"/>
  <c r="E263" i="4"/>
  <c r="E160" i="4"/>
  <c r="E165" i="4"/>
  <c r="E164" i="4" s="1"/>
  <c r="E616" i="4"/>
  <c r="E651" i="4"/>
  <c r="E650" i="4" s="1"/>
  <c r="E647" i="4" s="1"/>
  <c r="E597" i="4"/>
  <c r="E596" i="4" s="1"/>
  <c r="E601" i="4"/>
  <c r="E600" i="4" s="1"/>
  <c r="E606" i="4"/>
  <c r="E605" i="4" s="1"/>
  <c r="E604" i="4" s="1"/>
  <c r="E343" i="4"/>
  <c r="E512" i="4"/>
  <c r="E511" i="4" s="1"/>
  <c r="E376" i="4"/>
  <c r="E408" i="4"/>
  <c r="E455" i="4"/>
  <c r="E479" i="4"/>
  <c r="E482" i="4"/>
  <c r="E483" i="4"/>
  <c r="E484" i="4"/>
  <c r="E486" i="4"/>
  <c r="E488" i="4"/>
  <c r="E490" i="4"/>
  <c r="E498" i="4"/>
  <c r="E337" i="4"/>
  <c r="E336" i="4" s="1"/>
  <c r="E338" i="4"/>
  <c r="E516" i="4"/>
  <c r="E515" i="4" s="1"/>
  <c r="E520" i="4"/>
  <c r="E519" i="4" s="1"/>
  <c r="E524" i="4"/>
  <c r="E537" i="4"/>
  <c r="E541" i="4"/>
  <c r="E540" i="4" s="1"/>
  <c r="E545" i="4"/>
  <c r="E544" i="4" s="1"/>
  <c r="E555" i="4"/>
  <c r="E554" i="4" s="1"/>
  <c r="E563" i="4"/>
  <c r="E562" i="4" s="1"/>
  <c r="E326" i="4"/>
  <c r="E325" i="4" s="1"/>
  <c r="E282" i="4"/>
  <c r="E280" i="4" s="1"/>
  <c r="E279" i="4" s="1"/>
  <c r="E298" i="4"/>
  <c r="E297" i="4" s="1"/>
  <c r="E261" i="4"/>
  <c r="E260" i="4" s="1"/>
  <c r="E259" i="4" s="1"/>
  <c r="E257" i="4"/>
  <c r="E256" i="4" s="1"/>
  <c r="E255" i="4" s="1"/>
  <c r="E249" i="4"/>
  <c r="E248" i="4" s="1"/>
  <c r="E224" i="4"/>
  <c r="E223" i="4"/>
  <c r="E210" i="4"/>
  <c r="E209" i="4" s="1"/>
  <c r="E211" i="4"/>
  <c r="E203" i="4"/>
  <c r="E202" i="4" s="1"/>
  <c r="E12" i="4"/>
  <c r="E20" i="4"/>
  <c r="E25" i="4"/>
  <c r="E28" i="4"/>
  <c r="E50" i="4"/>
  <c r="E80" i="4"/>
  <c r="E79" i="4" s="1"/>
  <c r="E78" i="4" s="1"/>
  <c r="E109" i="4"/>
  <c r="E108" i="4" s="1"/>
  <c r="E107" i="4" s="1"/>
  <c r="E106" i="4" s="1"/>
  <c r="E118" i="4"/>
  <c r="E117" i="4" s="1"/>
  <c r="E128" i="4"/>
  <c r="E135" i="4"/>
  <c r="E134" i="4" s="1"/>
  <c r="E140" i="4"/>
  <c r="E169" i="4"/>
  <c r="E172" i="4"/>
  <c r="E171" i="4" s="1"/>
  <c r="E179" i="4"/>
  <c r="E178" i="4" s="1"/>
  <c r="E177" i="4" s="1"/>
  <c r="E176" i="4" s="1"/>
  <c r="E193" i="4"/>
  <c r="E192" i="4" s="1"/>
  <c r="E197" i="4"/>
  <c r="E196" i="4" s="1"/>
  <c r="G281" i="4"/>
  <c r="G75" i="4"/>
  <c r="F75" i="4"/>
  <c r="E740" i="4"/>
  <c r="E739" i="4" s="1"/>
  <c r="E738" i="4" s="1"/>
  <c r="E205" i="4"/>
  <c r="E226" i="4"/>
  <c r="E251" i="4"/>
  <c r="E271" i="4"/>
  <c r="E274" i="4"/>
  <c r="E292" i="4"/>
  <c r="E289" i="4" s="1"/>
  <c r="E303" i="4"/>
  <c r="E307" i="4"/>
  <c r="E306" i="4" s="1"/>
  <c r="E311" i="4"/>
  <c r="E313" i="4"/>
  <c r="E317" i="4"/>
  <c r="E316" i="4" s="1"/>
  <c r="E322" i="4"/>
  <c r="E564" i="4"/>
  <c r="E638" i="4"/>
  <c r="E693" i="4"/>
  <c r="E692" i="4" s="1"/>
  <c r="E689" i="4"/>
  <c r="E688" i="4" s="1"/>
  <c r="E679" i="4"/>
  <c r="E682" i="4"/>
  <c r="E685" i="4"/>
  <c r="E662" i="4"/>
  <c r="E655" i="4"/>
  <c r="F851" i="4"/>
  <c r="F853" i="4"/>
  <c r="F857" i="4"/>
  <c r="F856" i="4" s="1"/>
  <c r="F855" i="4" s="1"/>
  <c r="F862" i="4"/>
  <c r="F861" i="4" s="1"/>
  <c r="F860" i="4" s="1"/>
  <c r="F877" i="4"/>
  <c r="F876" i="4" s="1"/>
  <c r="F875" i="4" s="1"/>
  <c r="F880" i="4" s="1"/>
  <c r="G1017" i="4"/>
  <c r="G1008" i="4"/>
  <c r="F1008" i="4"/>
  <c r="F1017" i="4"/>
  <c r="G857" i="4"/>
  <c r="G856" i="4" s="1"/>
  <c r="G855" i="4" s="1"/>
  <c r="G877" i="4"/>
  <c r="G876" i="4" s="1"/>
  <c r="G875" i="4" s="1"/>
  <c r="G880" i="4" s="1"/>
  <c r="H983" i="4"/>
  <c r="H982" i="4" s="1"/>
  <c r="H981" i="4" s="1"/>
  <c r="H980" i="4" s="1"/>
  <c r="H984" i="4" s="1"/>
  <c r="H852" i="4"/>
  <c r="H851" i="4" s="1"/>
  <c r="H854" i="4"/>
  <c r="H853" i="4" s="1"/>
  <c r="H863" i="4"/>
  <c r="H862" i="4" s="1"/>
  <c r="H861" i="4" s="1"/>
  <c r="H860" i="4" s="1"/>
  <c r="G982" i="4"/>
  <c r="G981" i="4" s="1"/>
  <c r="G980" i="4" s="1"/>
  <c r="G984" i="4" s="1"/>
  <c r="G851" i="4"/>
  <c r="G853" i="4"/>
  <c r="G862" i="4"/>
  <c r="G861" i="4" s="1"/>
  <c r="G860" i="4" s="1"/>
  <c r="G994" i="4"/>
  <c r="G993" i="4" s="1"/>
  <c r="G992" i="4" s="1"/>
  <c r="G996" i="4" s="1"/>
  <c r="F982" i="4"/>
  <c r="F981" i="4" s="1"/>
  <c r="F980" i="4" s="1"/>
  <c r="F984" i="4" s="1"/>
  <c r="F994" i="4"/>
  <c r="F993" i="4" s="1"/>
  <c r="F992" i="4" s="1"/>
  <c r="F996" i="4" s="1"/>
  <c r="E1085" i="4"/>
  <c r="E1084" i="4" s="1"/>
  <c r="E728" i="4"/>
  <c r="E727" i="4" s="1"/>
  <c r="E726" i="4" s="1"/>
  <c r="H1019" i="4"/>
  <c r="H1021" i="4"/>
  <c r="H1018" i="4"/>
  <c r="H1020" i="4"/>
  <c r="H1022" i="4"/>
  <c r="H1010" i="4"/>
  <c r="H1011" i="4"/>
  <c r="H1012" i="4"/>
  <c r="H1013" i="4"/>
  <c r="H1014" i="4"/>
  <c r="H1015" i="4"/>
  <c r="H1016" i="4"/>
  <c r="H1009" i="4"/>
  <c r="H878" i="4"/>
  <c r="H879" i="4"/>
  <c r="H858" i="4"/>
  <c r="H859" i="4"/>
  <c r="E793" i="4"/>
  <c r="E792" i="4" s="1"/>
  <c r="E949" i="4"/>
  <c r="E712" i="4"/>
  <c r="E711" i="4" s="1"/>
  <c r="G268" i="4"/>
  <c r="G290" i="4"/>
  <c r="F268" i="4"/>
  <c r="F267" i="4" s="1"/>
  <c r="F290" i="4"/>
  <c r="E268" i="4"/>
  <c r="E267" i="4" s="1"/>
  <c r="E290" i="4"/>
  <c r="F1073" i="4"/>
  <c r="F1043" i="4"/>
  <c r="F1042" i="4" s="1"/>
  <c r="H695" i="4" l="1"/>
  <c r="H477" i="4"/>
  <c r="H389" i="4"/>
  <c r="H429" i="4"/>
  <c r="H427" i="4"/>
  <c r="H75" i="4"/>
  <c r="H932" i="4"/>
  <c r="H685" i="4"/>
  <c r="H679" i="4"/>
  <c r="H662" i="4"/>
  <c r="H274" i="4"/>
  <c r="H251" i="4"/>
  <c r="H241" i="4"/>
  <c r="H236" i="4"/>
  <c r="H215" i="4"/>
  <c r="H213" i="4"/>
  <c r="H83" i="4"/>
  <c r="H81" i="4"/>
  <c r="H66" i="4"/>
  <c r="H64" i="4"/>
  <c r="H123" i="4"/>
  <c r="H119" i="4"/>
  <c r="H45" i="4"/>
  <c r="H38" i="4"/>
  <c r="H157" i="4"/>
  <c r="H338" i="4"/>
  <c r="H513" i="4"/>
  <c r="H508" i="4"/>
  <c r="H373" i="4"/>
  <c r="H364" i="4"/>
  <c r="H362" i="4"/>
  <c r="H360" i="4"/>
  <c r="H351" i="4"/>
  <c r="H435" i="4"/>
  <c r="H422" i="4"/>
  <c r="H420" i="4"/>
  <c r="H418" i="4"/>
  <c r="H410" i="4"/>
  <c r="H179" i="4"/>
  <c r="H656" i="4"/>
  <c r="H124" i="4"/>
  <c r="H121" i="4"/>
  <c r="H473" i="4"/>
  <c r="H411" i="4"/>
  <c r="H150" i="4"/>
  <c r="H393" i="4"/>
  <c r="H549" i="4"/>
  <c r="H821" i="4"/>
  <c r="H395" i="4"/>
  <c r="G267" i="4"/>
  <c r="H267" i="4" s="1"/>
  <c r="H268" i="4"/>
  <c r="F300" i="4"/>
  <c r="H301" i="4"/>
  <c r="F108" i="4"/>
  <c r="F107" i="4" s="1"/>
  <c r="F106" i="4" s="1"/>
  <c r="H109" i="4"/>
  <c r="G960" i="4"/>
  <c r="H961" i="4"/>
  <c r="G937" i="4"/>
  <c r="H938" i="4"/>
  <c r="G839" i="4"/>
  <c r="H839" i="4" s="1"/>
  <c r="H840" i="4"/>
  <c r="G828" i="4"/>
  <c r="H828" i="4" s="1"/>
  <c r="H829" i="4"/>
  <c r="G802" i="4"/>
  <c r="H802" i="4" s="1"/>
  <c r="H803" i="4"/>
  <c r="G600" i="4"/>
  <c r="H600" i="4" s="1"/>
  <c r="H601" i="4"/>
  <c r="G651" i="4"/>
  <c r="H652" i="4"/>
  <c r="G643" i="4"/>
  <c r="H643" i="4" s="1"/>
  <c r="H644" i="4"/>
  <c r="H707" i="4"/>
  <c r="H313" i="4"/>
  <c r="G306" i="4"/>
  <c r="H306" i="4" s="1"/>
  <c r="H307" i="4"/>
  <c r="H300" i="4"/>
  <c r="G289" i="4"/>
  <c r="H289" i="4" s="1"/>
  <c r="H292" i="4"/>
  <c r="G196" i="4"/>
  <c r="H196" i="4" s="1"/>
  <c r="H197" i="4"/>
  <c r="G177" i="4"/>
  <c r="H178" i="4"/>
  <c r="G107" i="4"/>
  <c r="H108" i="4"/>
  <c r="H25" i="4"/>
  <c r="G12" i="4"/>
  <c r="H12" i="4" s="1"/>
  <c r="H17" i="4"/>
  <c r="H160" i="4"/>
  <c r="G519" i="4"/>
  <c r="H519" i="4" s="1"/>
  <c r="H520" i="4"/>
  <c r="H457" i="4"/>
  <c r="H370" i="4"/>
  <c r="H356" i="4"/>
  <c r="H386" i="4"/>
  <c r="H384" i="4"/>
  <c r="H380" i="4"/>
  <c r="H448" i="4"/>
  <c r="H442" i="4"/>
  <c r="H431" i="4"/>
  <c r="H416" i="4"/>
  <c r="H413" i="4"/>
  <c r="H426" i="4"/>
  <c r="H392" i="4"/>
  <c r="H355" i="4"/>
  <c r="G972" i="4"/>
  <c r="H973" i="4"/>
  <c r="G284" i="4"/>
  <c r="H286" i="4"/>
  <c r="G670" i="4"/>
  <c r="H670" i="4" s="1"/>
  <c r="H671" i="4"/>
  <c r="G782" i="4"/>
  <c r="H396" i="4"/>
  <c r="G688" i="4"/>
  <c r="F659" i="4"/>
  <c r="H660" i="4"/>
  <c r="H402" i="4"/>
  <c r="G322" i="4"/>
  <c r="H323" i="4"/>
  <c r="G1085" i="4"/>
  <c r="H1086" i="4"/>
  <c r="H1038" i="4"/>
  <c r="H290" i="4"/>
  <c r="H344" i="4"/>
  <c r="H1035" i="4"/>
  <c r="H946" i="4"/>
  <c r="H832" i="4"/>
  <c r="G807" i="4"/>
  <c r="G797" i="4"/>
  <c r="H797" i="4" s="1"/>
  <c r="H798" i="4"/>
  <c r="G778" i="4"/>
  <c r="H766" i="4"/>
  <c r="G596" i="4"/>
  <c r="H596" i="4" s="1"/>
  <c r="H597" i="4"/>
  <c r="H682" i="4"/>
  <c r="H667" i="4"/>
  <c r="H647" i="4"/>
  <c r="G639" i="4"/>
  <c r="H640" i="4"/>
  <c r="H709" i="4"/>
  <c r="H696" i="4"/>
  <c r="G316" i="4"/>
  <c r="H316" i="4" s="1"/>
  <c r="H317" i="4"/>
  <c r="H311" i="4"/>
  <c r="H303" i="4"/>
  <c r="G297" i="4"/>
  <c r="G296" i="4" s="1"/>
  <c r="H298" i="4"/>
  <c r="H271" i="4"/>
  <c r="H243" i="4"/>
  <c r="H239" i="4"/>
  <c r="H229" i="4"/>
  <c r="H216" i="4"/>
  <c r="H214" i="4"/>
  <c r="H212" i="4"/>
  <c r="H205" i="4"/>
  <c r="G192" i="4"/>
  <c r="H192" i="4" s="1"/>
  <c r="H193" i="4"/>
  <c r="H169" i="4"/>
  <c r="H135" i="4"/>
  <c r="H95" i="4"/>
  <c r="H82" i="4"/>
  <c r="H65" i="4"/>
  <c r="H58" i="4"/>
  <c r="H20" i="4"/>
  <c r="H46" i="4"/>
  <c r="H42" i="4"/>
  <c r="G164" i="4"/>
  <c r="H164" i="4" s="1"/>
  <c r="H165" i="4"/>
  <c r="H158" i="4"/>
  <c r="H525" i="4"/>
  <c r="G516" i="4"/>
  <c r="H517" i="4"/>
  <c r="G336" i="4"/>
  <c r="G335" i="4" s="1"/>
  <c r="H337" i="4"/>
  <c r="H512" i="4"/>
  <c r="H500" i="4"/>
  <c r="H487" i="4"/>
  <c r="H475" i="4"/>
  <c r="H374" i="4"/>
  <c r="H371" i="4"/>
  <c r="H365" i="4"/>
  <c r="H363" i="4"/>
  <c r="H361" i="4"/>
  <c r="H352" i="4"/>
  <c r="H387" i="4"/>
  <c r="H385" i="4"/>
  <c r="H381" i="4"/>
  <c r="H378" i="4"/>
  <c r="H443" i="4"/>
  <c r="H436" i="4"/>
  <c r="H433" i="4"/>
  <c r="H430" i="4"/>
  <c r="H428" i="4"/>
  <c r="H425" i="4"/>
  <c r="H421" i="4"/>
  <c r="H419" i="4"/>
  <c r="H417" i="4"/>
  <c r="H414" i="4"/>
  <c r="H409" i="4"/>
  <c r="H546" i="4"/>
  <c r="H439" i="4"/>
  <c r="G555" i="4"/>
  <c r="G554" i="4" s="1"/>
  <c r="H559" i="4"/>
  <c r="H263" i="4"/>
  <c r="G112" i="4"/>
  <c r="H114" i="4"/>
  <c r="H415" i="4"/>
  <c r="H118" i="4"/>
  <c r="H935" i="4"/>
  <c r="G604" i="4"/>
  <c r="H1073" i="4"/>
  <c r="F782" i="4"/>
  <c r="H784" i="4"/>
  <c r="F793" i="4"/>
  <c r="F792" i="4" s="1"/>
  <c r="H794" i="4"/>
  <c r="G816" i="4"/>
  <c r="H816" i="4" s="1"/>
  <c r="H817" i="4"/>
  <c r="H394" i="4"/>
  <c r="G71" i="4"/>
  <c r="H71" i="4" s="1"/>
  <c r="H72" i="4"/>
  <c r="H400" i="4"/>
  <c r="H403" i="4"/>
  <c r="H481" i="4"/>
  <c r="G222" i="4"/>
  <c r="H223" i="4"/>
  <c r="G562" i="4"/>
  <c r="H563" i="4"/>
  <c r="G904" i="4"/>
  <c r="H818" i="4"/>
  <c r="H906" i="4"/>
  <c r="H833" i="4"/>
  <c r="H767" i="4"/>
  <c r="H825" i="4"/>
  <c r="F905" i="4"/>
  <c r="F904" i="4" s="1"/>
  <c r="F909" i="4" s="1"/>
  <c r="G655" i="4"/>
  <c r="F655" i="4"/>
  <c r="F769" i="4"/>
  <c r="F765" i="4" s="1"/>
  <c r="F808" i="4"/>
  <c r="F807" i="4" s="1"/>
  <c r="F796" i="4" s="1"/>
  <c r="F1072" i="4"/>
  <c r="F1071" i="4" s="1"/>
  <c r="F1076" i="4" s="1"/>
  <c r="G1072" i="4"/>
  <c r="G1034" i="4"/>
  <c r="F1034" i="4"/>
  <c r="F1033" i="4" s="1"/>
  <c r="F1046" i="4" s="1"/>
  <c r="G891" i="4"/>
  <c r="G620" i="4"/>
  <c r="F934" i="4"/>
  <c r="H934" i="4" s="1"/>
  <c r="F651" i="4"/>
  <c r="F566" i="4"/>
  <c r="H566" i="4" s="1"/>
  <c r="F128" i="4"/>
  <c r="F117" i="4"/>
  <c r="F325" i="4"/>
  <c r="F321" i="4" s="1"/>
  <c r="F320" i="4" s="1"/>
  <c r="F171" i="4"/>
  <c r="G343" i="4"/>
  <c r="F182" i="4"/>
  <c r="H182" i="4" s="1"/>
  <c r="G693" i="4"/>
  <c r="G226" i="4"/>
  <c r="G524" i="4"/>
  <c r="G134" i="4"/>
  <c r="F555" i="4"/>
  <c r="F256" i="4"/>
  <c r="F284" i="4"/>
  <c r="G793" i="4"/>
  <c r="F281" i="4"/>
  <c r="H281" i="4" s="1"/>
  <c r="F280" i="4"/>
  <c r="F209" i="4"/>
  <c r="F68" i="4"/>
  <c r="H68" i="4" s="1"/>
  <c r="G270" i="4"/>
  <c r="G171" i="4"/>
  <c r="F202" i="4"/>
  <c r="G765" i="4"/>
  <c r="F1056" i="4"/>
  <c r="F1055" i="4" s="1"/>
  <c r="F1064" i="4" s="1"/>
  <c r="F248" i="4"/>
  <c r="G571" i="4"/>
  <c r="H571" i="4" s="1"/>
  <c r="F779" i="4"/>
  <c r="F778" i="4" s="1"/>
  <c r="G490" i="4"/>
  <c r="G325" i="4"/>
  <c r="G201" i="4"/>
  <c r="F524" i="4"/>
  <c r="F523" i="4" s="1"/>
  <c r="G63" i="4"/>
  <c r="G545" i="4"/>
  <c r="F297" i="4"/>
  <c r="E201" i="4"/>
  <c r="F222" i="4"/>
  <c r="F211" i="4"/>
  <c r="F516" i="4"/>
  <c r="F515" i="4" s="1"/>
  <c r="F498" i="4"/>
  <c r="H877" i="4"/>
  <c r="H876" i="4" s="1"/>
  <c r="G850" i="4"/>
  <c r="G849" i="4" s="1"/>
  <c r="G864" i="4" s="1"/>
  <c r="G1007" i="4"/>
  <c r="G1006" i="4" s="1"/>
  <c r="G1005" i="4" s="1"/>
  <c r="G1023" i="4" s="1"/>
  <c r="F605" i="4"/>
  <c r="F604" i="4" s="1"/>
  <c r="F595" i="4" s="1"/>
  <c r="F609" i="4" s="1"/>
  <c r="F140" i="4"/>
  <c r="G310" i="4"/>
  <c r="F134" i="4"/>
  <c r="E281" i="4"/>
  <c r="E270" i="4"/>
  <c r="E133" i="4"/>
  <c r="E523" i="4"/>
  <c r="E471" i="4"/>
  <c r="E342" i="4" s="1"/>
  <c r="E341" i="4" s="1"/>
  <c r="E156" i="4"/>
  <c r="E148" i="4" s="1"/>
  <c r="E147" i="4" s="1"/>
  <c r="E63" i="4"/>
  <c r="E57" i="4" s="1"/>
  <c r="E56" i="4" s="1"/>
  <c r="E54" i="4" s="1"/>
  <c r="E1055" i="4"/>
  <c r="E1064" i="4" s="1"/>
  <c r="F827" i="4"/>
  <c r="F639" i="4"/>
  <c r="H738" i="4"/>
  <c r="H742" i="4" s="1"/>
  <c r="F820" i="4"/>
  <c r="F335" i="4"/>
  <c r="F1007" i="4"/>
  <c r="F1006" i="4" s="1"/>
  <c r="F1005" i="4" s="1"/>
  <c r="F1023" i="4" s="1"/>
  <c r="F850" i="4"/>
  <c r="F849" i="4" s="1"/>
  <c r="F864" i="4" s="1"/>
  <c r="E678" i="4"/>
  <c r="F63" i="4"/>
  <c r="F511" i="4"/>
  <c r="H857" i="4"/>
  <c r="H856" i="4" s="1"/>
  <c r="E718" i="4"/>
  <c r="E310" i="4"/>
  <c r="E168" i="4"/>
  <c r="F693" i="4"/>
  <c r="F692" i="4" s="1"/>
  <c r="E11" i="4"/>
  <c r="E247" i="4"/>
  <c r="E321" i="4"/>
  <c r="E320" i="4" s="1"/>
  <c r="F270" i="4"/>
  <c r="G80" i="4"/>
  <c r="G1055" i="4"/>
  <c r="G1064" i="4" s="1"/>
  <c r="G944" i="4"/>
  <c r="G827" i="4"/>
  <c r="F112" i="4"/>
  <c r="G568" i="4"/>
  <c r="H568" i="4" s="1"/>
  <c r="F376" i="4"/>
  <c r="F471" i="4"/>
  <c r="F343" i="4"/>
  <c r="F408" i="4"/>
  <c r="F1084" i="4"/>
  <c r="F545" i="4"/>
  <c r="F544" i="4" s="1"/>
  <c r="F50" i="4"/>
  <c r="G211" i="4"/>
  <c r="H211" i="4" s="1"/>
  <c r="F148" i="4"/>
  <c r="F666" i="4"/>
  <c r="F689" i="4"/>
  <c r="H689" i="4" s="1"/>
  <c r="F892" i="4"/>
  <c r="H892" i="4" s="1"/>
  <c r="H850" i="4"/>
  <c r="H849" i="4" s="1"/>
  <c r="E561" i="4"/>
  <c r="E208" i="4"/>
  <c r="E254" i="4"/>
  <c r="E335" i="4"/>
  <c r="E595" i="4"/>
  <c r="E609" i="4" s="1"/>
  <c r="F310" i="4"/>
  <c r="H1008" i="4"/>
  <c r="E222" i="4"/>
  <c r="E221" i="4" s="1"/>
  <c r="E296" i="4"/>
  <c r="F564" i="4"/>
  <c r="F944" i="4"/>
  <c r="F943" i="4" s="1"/>
  <c r="F942" i="4" s="1"/>
  <c r="H752" i="4"/>
  <c r="H751" i="4" s="1"/>
  <c r="H750" i="4" s="1"/>
  <c r="H756" i="4" s="1"/>
  <c r="H586" i="4"/>
  <c r="H585" i="4" s="1"/>
  <c r="H584" i="4" s="1"/>
  <c r="H589" i="4" s="1"/>
  <c r="G931" i="4"/>
  <c r="G678" i="4"/>
  <c r="G471" i="4"/>
  <c r="F259" i="4"/>
  <c r="G259" i="4"/>
  <c r="H875" i="4"/>
  <c r="H880" i="4" s="1"/>
  <c r="H855" i="4"/>
  <c r="G824" i="4"/>
  <c r="H824" i="4" s="1"/>
  <c r="G376" i="4"/>
  <c r="G408" i="4"/>
  <c r="G255" i="4"/>
  <c r="G28" i="4"/>
  <c r="F226" i="4"/>
  <c r="G117" i="4"/>
  <c r="H117" i="4" s="1"/>
  <c r="G498" i="4"/>
  <c r="F490" i="4"/>
  <c r="G148" i="4"/>
  <c r="F789" i="4"/>
  <c r="F788" i="4" s="1"/>
  <c r="F80" i="4"/>
  <c r="F79" i="4" s="1"/>
  <c r="F455" i="4"/>
  <c r="G511" i="4"/>
  <c r="G247" i="4"/>
  <c r="G515" i="4"/>
  <c r="F156" i="4"/>
  <c r="G455" i="4"/>
  <c r="H455" i="4" s="1"/>
  <c r="F28" i="4"/>
  <c r="E670" i="4"/>
  <c r="E667" i="4" s="1"/>
  <c r="E666" i="4" s="1"/>
  <c r="H1017" i="4"/>
  <c r="E116" i="4"/>
  <c r="F678" i="4"/>
  <c r="G156" i="4"/>
  <c r="H156" i="4" s="1"/>
  <c r="G796" i="4" l="1"/>
  <c r="H511" i="4"/>
  <c r="H376" i="4"/>
  <c r="H796" i="4"/>
  <c r="H515" i="4"/>
  <c r="H148" i="4"/>
  <c r="H259" i="4"/>
  <c r="H605" i="4"/>
  <c r="H112" i="4"/>
  <c r="H335" i="4"/>
  <c r="H778" i="4"/>
  <c r="H202" i="4"/>
  <c r="H209" i="4"/>
  <c r="H765" i="4"/>
  <c r="G666" i="4"/>
  <c r="H807" i="4"/>
  <c r="H28" i="4"/>
  <c r="H408" i="4"/>
  <c r="H471" i="4"/>
  <c r="G930" i="4"/>
  <c r="G943" i="4"/>
  <c r="H944" i="4"/>
  <c r="G321" i="4"/>
  <c r="H325" i="4"/>
  <c r="H490" i="4"/>
  <c r="H171" i="4"/>
  <c r="H666" i="4"/>
  <c r="G792" i="4"/>
  <c r="G764" i="4" s="1"/>
  <c r="H793" i="4"/>
  <c r="H226" i="4"/>
  <c r="G616" i="4"/>
  <c r="H620" i="4"/>
  <c r="G890" i="4"/>
  <c r="G1033" i="4"/>
  <c r="H1034" i="4"/>
  <c r="G1071" i="4"/>
  <c r="H1072" i="4"/>
  <c r="G909" i="4"/>
  <c r="H909" i="4" s="1"/>
  <c r="H904" i="4"/>
  <c r="H562" i="4"/>
  <c r="H222" i="4"/>
  <c r="H555" i="4"/>
  <c r="H336" i="4"/>
  <c r="H516" i="4"/>
  <c r="H50" i="4"/>
  <c r="H297" i="4"/>
  <c r="H639" i="4"/>
  <c r="H782" i="4"/>
  <c r="H284" i="4"/>
  <c r="G971" i="4"/>
  <c r="H972" i="4"/>
  <c r="H128" i="4"/>
  <c r="H140" i="4"/>
  <c r="G650" i="4"/>
  <c r="G638" i="4" s="1"/>
  <c r="H651" i="4"/>
  <c r="G595" i="4"/>
  <c r="H498" i="4"/>
  <c r="H678" i="4"/>
  <c r="H827" i="4"/>
  <c r="G79" i="4"/>
  <c r="H80" i="4"/>
  <c r="H310" i="4"/>
  <c r="G111" i="4"/>
  <c r="G544" i="4"/>
  <c r="H545" i="4"/>
  <c r="H63" i="4"/>
  <c r="G279" i="4"/>
  <c r="G266" i="4" s="1"/>
  <c r="H270" i="4"/>
  <c r="H134" i="4"/>
  <c r="H524" i="4"/>
  <c r="G692" i="4"/>
  <c r="H692" i="4" s="1"/>
  <c r="H693" i="4"/>
  <c r="H343" i="4"/>
  <c r="H655" i="4"/>
  <c r="H604" i="4"/>
  <c r="H280" i="4"/>
  <c r="H779" i="4"/>
  <c r="H808" i="4"/>
  <c r="H905" i="4"/>
  <c r="G1084" i="4"/>
  <c r="H1085" i="4"/>
  <c r="H322" i="4"/>
  <c r="H659" i="4"/>
  <c r="H783" i="4"/>
  <c r="G106" i="4"/>
  <c r="H107" i="4"/>
  <c r="G176" i="4"/>
  <c r="H176" i="4" s="1"/>
  <c r="H177" i="4"/>
  <c r="H769" i="4"/>
  <c r="G936" i="4"/>
  <c r="H936" i="4" s="1"/>
  <c r="H937" i="4"/>
  <c r="G959" i="4"/>
  <c r="H960" i="4"/>
  <c r="F11" i="4"/>
  <c r="F815" i="4"/>
  <c r="G133" i="4"/>
  <c r="F168" i="4"/>
  <c r="G523" i="4"/>
  <c r="H523" i="4" s="1"/>
  <c r="F554" i="4"/>
  <c r="F931" i="4"/>
  <c r="F930" i="4" s="1"/>
  <c r="F949" i="4" s="1"/>
  <c r="F247" i="4"/>
  <c r="F181" i="4"/>
  <c r="F891" i="4"/>
  <c r="F890" i="4" s="1"/>
  <c r="F895" i="4" s="1"/>
  <c r="H864" i="4"/>
  <c r="F57" i="4"/>
  <c r="F56" i="4" s="1"/>
  <c r="F54" i="4" s="1"/>
  <c r="F650" i="4"/>
  <c r="F116" i="4"/>
  <c r="F616" i="4"/>
  <c r="F630" i="4" s="1"/>
  <c r="G168" i="4"/>
  <c r="F201" i="4"/>
  <c r="H201" i="4" s="1"/>
  <c r="G254" i="4"/>
  <c r="G57" i="4"/>
  <c r="G221" i="4"/>
  <c r="E10" i="4"/>
  <c r="F279" i="4"/>
  <c r="F133" i="4"/>
  <c r="F255" i="4"/>
  <c r="F254" i="4" s="1"/>
  <c r="H1007" i="4"/>
  <c r="H1006" i="4" s="1"/>
  <c r="H1005" i="4"/>
  <c r="H1023" i="4" s="1"/>
  <c r="G564" i="4"/>
  <c r="H564" i="4" s="1"/>
  <c r="F111" i="4"/>
  <c r="E334" i="4"/>
  <c r="F208" i="4"/>
  <c r="F296" i="4"/>
  <c r="E266" i="4"/>
  <c r="E200" i="4"/>
  <c r="F764" i="4"/>
  <c r="F561" i="4"/>
  <c r="F688" i="4"/>
  <c r="G208" i="4"/>
  <c r="F1088" i="4"/>
  <c r="F1083" i="4"/>
  <c r="F78" i="4"/>
  <c r="G342" i="4"/>
  <c r="G820" i="4"/>
  <c r="H820" i="4" s="1"/>
  <c r="F147" i="4"/>
  <c r="G147" i="4"/>
  <c r="G116" i="4"/>
  <c r="F221" i="4"/>
  <c r="G11" i="4"/>
  <c r="F342" i="4"/>
  <c r="H168" i="4" l="1"/>
  <c r="G718" i="4"/>
  <c r="H342" i="4"/>
  <c r="H931" i="4"/>
  <c r="H208" i="4"/>
  <c r="G56" i="4"/>
  <c r="G55" i="4" s="1"/>
  <c r="H55" i="4" s="1"/>
  <c r="H57" i="4"/>
  <c r="H764" i="4"/>
  <c r="H133" i="4"/>
  <c r="H106" i="4"/>
  <c r="G1088" i="4"/>
  <c r="H1088" i="4" s="1"/>
  <c r="H1084" i="4"/>
  <c r="G1083" i="4"/>
  <c r="H1083" i="4" s="1"/>
  <c r="H279" i="4"/>
  <c r="H544" i="4"/>
  <c r="H688" i="4"/>
  <c r="G1076" i="4"/>
  <c r="H1076" i="4" s="1"/>
  <c r="H1071" i="4"/>
  <c r="G1046" i="4"/>
  <c r="H1046" i="4" s="1"/>
  <c r="H1033" i="4"/>
  <c r="G895" i="4"/>
  <c r="H895" i="4" s="1"/>
  <c r="H890" i="4"/>
  <c r="G630" i="4"/>
  <c r="H630" i="4" s="1"/>
  <c r="H616" i="4"/>
  <c r="G320" i="4"/>
  <c r="H321" i="4"/>
  <c r="H11" i="4"/>
  <c r="H116" i="4"/>
  <c r="H147" i="4"/>
  <c r="H221" i="4"/>
  <c r="H254" i="4"/>
  <c r="H181" i="4"/>
  <c r="G963" i="4"/>
  <c r="H963" i="4" s="1"/>
  <c r="H959" i="4"/>
  <c r="H111" i="4"/>
  <c r="G78" i="4"/>
  <c r="H78" i="4" s="1"/>
  <c r="H79" i="4"/>
  <c r="G609" i="4"/>
  <c r="H609" i="4" s="1"/>
  <c r="H595" i="4"/>
  <c r="H650" i="4"/>
  <c r="G970" i="4"/>
  <c r="H971" i="4"/>
  <c r="H554" i="4"/>
  <c r="H891" i="4"/>
  <c r="H792" i="4"/>
  <c r="H296" i="4"/>
  <c r="G942" i="4"/>
  <c r="H943" i="4"/>
  <c r="H930" i="4"/>
  <c r="F842" i="4"/>
  <c r="F865" i="4"/>
  <c r="G200" i="4"/>
  <c r="F638" i="4"/>
  <c r="F718" i="4" s="1"/>
  <c r="F266" i="4"/>
  <c r="G561" i="4"/>
  <c r="H561" i="4" s="1"/>
  <c r="E575" i="4"/>
  <c r="E576" i="4" s="1"/>
  <c r="E577" i="4" s="1"/>
  <c r="E578" i="4" s="1"/>
  <c r="F200" i="4"/>
  <c r="F10" i="4"/>
  <c r="G815" i="4"/>
  <c r="H815" i="4" s="1"/>
  <c r="F341" i="4"/>
  <c r="G341" i="4"/>
  <c r="H718" i="4" l="1"/>
  <c r="H341" i="4"/>
  <c r="H200" i="4"/>
  <c r="H942" i="4"/>
  <c r="G949" i="4"/>
  <c r="G54" i="4"/>
  <c r="H56" i="4"/>
  <c r="G974" i="4"/>
  <c r="H974" i="4" s="1"/>
  <c r="H970" i="4"/>
  <c r="H320" i="4"/>
  <c r="H638" i="4"/>
  <c r="H266" i="4"/>
  <c r="F334" i="4"/>
  <c r="G334" i="4"/>
  <c r="G842" i="4"/>
  <c r="H842" i="4" s="1"/>
  <c r="H334" i="4" l="1"/>
  <c r="G865" i="4"/>
  <c r="H949" i="4"/>
  <c r="H865" i="4" s="1"/>
  <c r="H54" i="4"/>
  <c r="G10" i="4"/>
  <c r="G575" i="4" s="1"/>
  <c r="F575" i="4"/>
  <c r="F576" i="4" s="1"/>
  <c r="F577" i="4" s="1"/>
  <c r="F578" i="4" s="1"/>
  <c r="G576" i="4" l="1"/>
  <c r="G577" i="4" s="1"/>
  <c r="G578" i="4" s="1"/>
  <c r="H578" i="4" s="1"/>
  <c r="H575" i="4"/>
  <c r="H10" i="4"/>
  <c r="H576" i="4" l="1"/>
  <c r="H577" i="4" l="1"/>
</calcChain>
</file>

<file path=xl/sharedStrings.xml><?xml version="1.0" encoding="utf-8"?>
<sst xmlns="http://schemas.openxmlformats.org/spreadsheetml/2006/main" count="1009" uniqueCount="524">
  <si>
    <t>Капітальний ремонт (заміна вікон, дверей) Коломийського ліцею №2 по вул. М.Лисенка, 24 в м.Коломиї</t>
  </si>
  <si>
    <t>Капітальний ремонт спортивного майданчика Коломийського ліцею №6 імені Героя України Тараса Сенюка по вул. М.Леонтовича, 14 в м.Коломиї</t>
  </si>
  <si>
    <t>Капітальний ремонт спортивного майданчика з синтетичним покриттям Коломийського ліцею № 8 по вул. Є. Коновальця,10 в м.Коломиї</t>
  </si>
  <si>
    <t>Капітальний ремонт (заміна вікон, дверей) Коломийської початкової школи № 20 по вул. О.Маковея,16 в м. Коломиї</t>
  </si>
  <si>
    <t>Капітальний ремонт (заміна вікон, дверей) Шепарівцівської гімназії  по вул. Т. Шевченка, 70 в с. Шепарівці Коломийського району</t>
  </si>
  <si>
    <t>Капітальний ремонт Саджавського ліцею Коломийської міської ради по вул. Українська, 77а с. Саджавка</t>
  </si>
  <si>
    <t>0611070</t>
  </si>
  <si>
    <t xml:space="preserve">Придбання обладнання </t>
  </si>
  <si>
    <t>Капітальний ремонт гуртожитку ДЮСШ по вул. Петлюри, 17 б в м. Коломия Івано-Франківської області</t>
  </si>
  <si>
    <t>Капітальний ремонт  дорожнього покриття вул. Тичини в м.Коломиї</t>
  </si>
  <si>
    <t>Капітальний ремонт дорожнього покриття  вул. Заньковецької в м.Коломиї</t>
  </si>
  <si>
    <t>Капітальний ремонт дорожнього покриття вул.Валова-Коновальця в м.Коломиї</t>
  </si>
  <si>
    <t>Капітальний ремонт дорожнього покриття вул.Роксолани в м.Коломиї</t>
  </si>
  <si>
    <t>Капітальний ремонт дорожнього покриття вул.Косівської в м.Коломиї</t>
  </si>
  <si>
    <t>Капітальний ремонт дорожнього і тротуарного покриття вул. Лисенка (заїзд до ЗОШ №2 та ДНЗ №11) в м.Коломиї</t>
  </si>
  <si>
    <t>Капітальний ремонт дорожнього покриття вул.Вітовського в м.Коломиї</t>
  </si>
  <si>
    <t>Капітальний ремонт вул.Трильовського в м.Коломиї</t>
  </si>
  <si>
    <t>Капітальний ремонт дорожнього покриття біля будинку №20 по вул.Леонтовича в м.Коломиї</t>
  </si>
  <si>
    <t>Капітальний ремонт вул.Трильовського від буд.№54 до автодорожнього моста в м.Коломиї</t>
  </si>
  <si>
    <t>Капітальний ремонт дорожнього покриття вул.Трильовського від  автодорожнього моста до вул.Довбуша в м.Коломиї</t>
  </si>
  <si>
    <t>Капітальні видатки на програму "Громадський бюджет Коломийської міської об'єднаної територіальної громади на 2021-2022 роки":</t>
  </si>
  <si>
    <t>Придбання невиробничого обладнання і предметів довгострокового користування для встановлення біля будинку № 59 по вул. Валова в місті Коломия</t>
  </si>
  <si>
    <t>Придбання невиробничого обладнання і предметів довгострокового користування для встановлення біля будинку № 46 по проспекту Грушевського в м. Коломия</t>
  </si>
  <si>
    <t>Нове будівництво спортивної споруди Елінгу по вул. Івана Новодворського в м. Коломиї, Івано - Франківської області</t>
  </si>
  <si>
    <t>Капітальний ремонт тротуарів по вул. Костомарова, 1 в м. Коломиї</t>
  </si>
  <si>
    <t xml:space="preserve">Капітальний ремонт тротуарів по вул.Опришківській  в м.Коломиї </t>
  </si>
  <si>
    <t>Капітальний ремонт дорожнього  і тротуарного покриття  вул.Винниченка в м.Коломия</t>
  </si>
  <si>
    <t>Капітальний ремонт дорожнього покриття  вул.Довбуша в м.Коломия</t>
  </si>
  <si>
    <t>Всьго видатків на поточний 2021 рік (Уточнений план)</t>
  </si>
  <si>
    <t>Капітальний ремонт дорожнього покриття вул. Шкрумеляка від вул. Січових Стрільців до будинку № 10 в м. Коломиї</t>
  </si>
  <si>
    <t>Капітальний ремонт дорожнього і тротуарного покриття вул. Староміської в м. Коломия</t>
  </si>
  <si>
    <t>Реконструкція будівлі Коломийського закладу дошкільної освіти (ясла-садок) №3 "Берізка" по вул. Г. Ковцуняка, 1 в у м. Коломиї</t>
  </si>
  <si>
    <t>Капітальний ремонт дорожнього покриття вул. Старицького в м. Коломиї</t>
  </si>
  <si>
    <t>Капітальний ремонт дорожнього і тротуарного покриття вул. Гетьманська в м. Коломия</t>
  </si>
  <si>
    <t>Капітальний ремонт дорожнього покриття по вул. Лесі Українки в селі Королівка</t>
  </si>
  <si>
    <t>Капітальний ремонт дорожнього покриття по вул. Січових Стрільців в селі Раківчик</t>
  </si>
  <si>
    <t>Капітальний ремонт тротуарів біля будинків №20-30 по вул.Богуна в м.Коломиї</t>
  </si>
  <si>
    <t>Капітальний ремонт тротуарів по вул.Пекарській в м.Коломиї</t>
  </si>
  <si>
    <t>Капітальний ремонт тротуарів по вул.Стефаника в м.Коломиї</t>
  </si>
  <si>
    <t>Капітальний ремонт тротуарів по вул.Довбуша в м.Коломиї</t>
  </si>
  <si>
    <t>Капітальний ремонт тротуарів по вул. Довбуша від вул. Коцюбинського до вул. Опришківської в м. Коломиї</t>
  </si>
  <si>
    <t>Капітальний ремонт тротуарів по вул. Павлика в м.Коломиї</t>
  </si>
  <si>
    <t>Капітальний ремонт тротуарів біля будинків №24,26 по вул.Леонтовича в м.Коломиї</t>
  </si>
  <si>
    <t>Капітальний ремонт тротуарів біля будинків №34,36 по вул. Чайковського в м.Коломиї</t>
  </si>
  <si>
    <t>Капітальний ремонт тротуарів біля будинку №18 по вул. Леонтовича в м.Коломиї</t>
  </si>
  <si>
    <t>Капітальний ремонт тротуарів  по вул. Миколайчука в м.Коломиї</t>
  </si>
  <si>
    <t>Капітальний ремонт тротуарів  по вул. Чехова в м.Коломиї</t>
  </si>
  <si>
    <t>Капітальний ремонт тротуарів по вул. Костомарова в м. Коломиї</t>
  </si>
  <si>
    <t>Капітальний ремонт тротуарів по вул. Франка в м. Коломиї</t>
  </si>
  <si>
    <t>Капітальний ремонт тротуарів по вул. Йосипа Сліпого в м. Коломиї</t>
  </si>
  <si>
    <t>Капітальний ремонт тротуарів по вул. Мазепи, 270 в м. Коломиї</t>
  </si>
  <si>
    <t>Капітальний ремонт тротуарів по вул. Мазепи, 274 в м. Коломиї</t>
  </si>
  <si>
    <t xml:space="preserve">Капітальний ремонт тротуарів по вул. Маковея, 6, 16а в м.Коломиї </t>
  </si>
  <si>
    <t>Капітальний ремонт міжквартальних проїздів по вул. Бандери, 51а та вул.Палія, 20 в м.Коломиї</t>
  </si>
  <si>
    <t>Капітальний ремонт міжквартальних проїздів по вул. Стефаника, 1 в м. Коломиї</t>
  </si>
  <si>
    <t>Капітальний ремонт міжквартальних проїздів по вул. Стефаника, 5,2а в м. Коломиї</t>
  </si>
  <si>
    <t>Капітальний ремонт міжквартальних проїздів по вул. Леонтовича, 18 в м.Коломиї</t>
  </si>
  <si>
    <t>Капітальний ремонт міжквартальних проїздів по вул. Хмельницького, 1, 1а в м.Коломиї</t>
  </si>
  <si>
    <t>Капітальний ремонт міжквартальних проїздів по вул. Леонтовича, 2, 4, 6 в м.Коломиї</t>
  </si>
  <si>
    <t>Капітальний ремонт міжквартальних проїздів по вул. Леонтовича, 20, 24, 26 в м.Коломиї</t>
  </si>
  <si>
    <t>Капітальний ремонт міжквартальних проїздів по вул.Чайковського, 38, 46, 48 в м.Коломиї</t>
  </si>
  <si>
    <t>Капітальний ремонт міжквартальних проїздів по вул.Чайковського, 34, 36, 44 в м.Коломиї</t>
  </si>
  <si>
    <t>Капітальний ремонт міжквартальних проїздів по вул.Пекарська, 8 в м.Коломиї</t>
  </si>
  <si>
    <t>Капітальний ремонт тротуарів по вул. Довбуша від будинку № 27 до будинку № 81 в м. Коломиї</t>
  </si>
  <si>
    <t>Капітальний ремонт тротуарів по вул. Мазепи,235 в м. Коломиї</t>
  </si>
  <si>
    <t>Капітальний ремонт нежитлового приміщення по вул. Українській, 68б в с. Саджавка Коломийського району</t>
  </si>
  <si>
    <t>Реконструкція площі біля Собору ПЦУ "Преображення Господнього" по вулиці Мазепи, 56а в місті Коломиї</t>
  </si>
  <si>
    <t>Капітальний ремонт гімнастичного залу КДЮСШ по вул. бул.Л.Українки, 43 в м. Коломия Івано-Франківської області</t>
  </si>
  <si>
    <t>0117322</t>
  </si>
  <si>
    <t>Монтаж (реконструкція) системи киснепостачання КНП "Коломийська центральна районна лікарня" Коломийської міської ради на вул. Родини Крушельницьких, 26 в м. Коломия</t>
  </si>
  <si>
    <t>Капітальний ремонт міжквартальних проїздів по вул. Лисенка,1 в м. Коломиї</t>
  </si>
  <si>
    <t>Капітальний ремонт міжквартальних проїздів по вул.Лисенка, 10 в м.Коломиї</t>
  </si>
  <si>
    <t>Капітальний ремонт міжквартальних проїздів по вул. Лисенка,14 в м. Коломиї</t>
  </si>
  <si>
    <t>Капітальний ремонт міжквартальних проїздів по вул.Сахарова в м.Коломиї</t>
  </si>
  <si>
    <t>Капітальний ремонт міжквартальних проїздів по вул.Леонтовича в м.Коломиї</t>
  </si>
  <si>
    <t>Капітальний ремонт міжквартальних проїздів по пл.Привокзальній, 5, 6 в м.Коломиї</t>
  </si>
  <si>
    <t xml:space="preserve">Капітальний ремонт дорожнього покриття міжквартальних проїздів по пл.Привокзальній, 12 в м.Коломиї </t>
  </si>
  <si>
    <t>Капітальний ремонт тротуарів і міжквартальних проїздів по вул.Богуна в м.Коломиї</t>
  </si>
  <si>
    <t>Капітальний ремонт  міжквартальних проїздів по вул.Богуна 36 в м.Коломиї</t>
  </si>
  <si>
    <t>Капітальний ремонт міжквартальних проїздів біля будинку №22 по вул.Леонтовича в м.Коломиї</t>
  </si>
  <si>
    <t>Капітальний ремонт  міжквартальних проїздів біля будинків №54,56 по вул.Чайковського в м.Коломиї</t>
  </si>
  <si>
    <t>Капітальний ремонт  міжквартальних проїздів по  вул.Богуна,26,28,30,32 в м.Коломиї</t>
  </si>
  <si>
    <t>Капітальний ремонт міжквартальних проїздів по вул.Січових Стрільців, 23, 25 та вул.Лисенка, 1 в м.Коломиї</t>
  </si>
  <si>
    <t>Капітальний ремонт  міжквартальних проїздів по  вул.Січових Стрільців 33,39 в м.Коломиї</t>
  </si>
  <si>
    <t>Капітальний ремонт міжквартальних проїздів по вул.Валовій, 45  та вул.Коновальця, 19, 21 в м.Коломиї</t>
  </si>
  <si>
    <t>Капітальний ремонт міжквартальних проїздів по вул. Костомарова,2 в м. Коломиї</t>
  </si>
  <si>
    <t>Капітальний ремонт міжквартальних проїздів по пл.Привокзальній,3 в м.Коломиї</t>
  </si>
  <si>
    <t>Капітальний ремонт міжквартальних проїздів по пл.Привокзальній,4 в м.Коломиї</t>
  </si>
  <si>
    <t>Капітальний ремонт міжквартальних проїздів по пл.Привокзальній, 11 в м.Коломиї</t>
  </si>
  <si>
    <t>Капітальний ремонт міжквартальних проїздів по вул.Мазепи,236, 250, 268, 274 в м.Коломиї</t>
  </si>
  <si>
    <t>Капітальний ремонт міжквартальних проїздів по вул.Винниченка,1 в м.Коломиї</t>
  </si>
  <si>
    <t>Капітальний ремонт каналізаційної мережі по вул. Бандери, 5 в м. Коломиї</t>
  </si>
  <si>
    <t>Капітальний ремонт каналізаційної мережі по вул. Косачівській в м. Коломиї</t>
  </si>
  <si>
    <t>Капітальний ремонт дощової каналізації по вул. Січових Стрільців 23,25 в м. Коломиї</t>
  </si>
  <si>
    <t>Капітальний ремонт дощової каналізаціїі по вулиці Шопена в м.Коломиї</t>
  </si>
  <si>
    <t>Капітальний ремонт водопровідної мережі по вул. Шопена в м. Коломиї</t>
  </si>
  <si>
    <t>Капітальний ремонт дощової каналізації по вул. Дмитра Яворницького, 26 в м.Коломиї</t>
  </si>
  <si>
    <r>
      <t>Капітальний ремонт каналізаційної мережі по вулиці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Шкрумеляка 20,24 в м.Коломиї</t>
    </r>
  </si>
  <si>
    <t>Капітальний ремонт дитячого майданчика по вул.Квітковій в м.Коломиї</t>
  </si>
  <si>
    <t>Капітальний ремонт спортивного майданчика по вул.Достоєвського в м.Коломиї</t>
  </si>
  <si>
    <t>Капітальний ремонт спортивного майданчика по вул.Лисенка, 32 в м.Коломиї</t>
  </si>
  <si>
    <t>Капітальний ремонт дитячого майданчика біля будинку №213 по вул.Франка в м.Коломиї</t>
  </si>
  <si>
    <t>Капітальний ремонт спортивного майданчика по вул.Січинського в м.Коломиї</t>
  </si>
  <si>
    <t>Капітальний ремонт дитячого майданчика по вул.Опришківській в м.Коломиї</t>
  </si>
  <si>
    <t>0117370</t>
  </si>
  <si>
    <t>Капітальний ремонт дитячого майданчика по вул.Петлюри, 42 в м.Коломиї</t>
  </si>
  <si>
    <t>Капітальний ремонт спортивного майданчика по вул.Січових Стрільців, 33 в м.Коломиї</t>
  </si>
  <si>
    <t>Капітальний ремонт спортивного майданчика по вул.Січових Стрільців, 50а в м.Коломиї</t>
  </si>
  <si>
    <t>Капітальний ремонт спортивного майданчика по вул.Тютюнника, 2 в м.Коломиї</t>
  </si>
  <si>
    <t>Капітальний ремонт спортивного майданчика по вул.Пекарській, 8 в м.Коломиї</t>
  </si>
  <si>
    <t>Капітальний ремонт спортивного майданчика по вул.Шкрумеляка, 30 в м.Коломиї</t>
  </si>
  <si>
    <t>Капітальний ремонт спортивного майданчика по вул.Січових Стрільців, 23-25 в м.Коломиї</t>
  </si>
  <si>
    <t>Капітальний ремонт спортивного майданчика по вул.Шкрумеляка, 38 в м.Коломиї</t>
  </si>
  <si>
    <t>Капітальний ремонт спортивного майданчика по вул.Бандери, 5, 7, 11 в м.Коломиї</t>
  </si>
  <si>
    <t>Капітальний ремонт автобусної зупинки по вул.Карпатській, 127 в м.Коломиї</t>
  </si>
  <si>
    <t>Капітальний ремонт автобусної зупинки по вул.Довбуша, 315 в м.Коломиї</t>
  </si>
  <si>
    <t>Капітальний ремонт автобусної зупинки по вул.Франка, 40 в м.Коломиї</t>
  </si>
  <si>
    <t>Капітальний ремонт автобусної зупинки по вул.Петлюри, 57 в м.Коломиї</t>
  </si>
  <si>
    <t>Капітальний ремонт автобусної зупинки по вул.Мазепи , 263 в м.Коломиї</t>
  </si>
  <si>
    <t>Капітальний ремонт вуличного освітлення по вулицях Білейчука, Зелена, Лугова, Шевченка, Гринюка в селі Воскресинці</t>
  </si>
  <si>
    <t>Капітальний ремонт вуличного освітлення по вул. І.Ткачука, Сарма-Соколовського в м.Коломиї</t>
  </si>
  <si>
    <t>Капітальний ремонт вуличного освітлення по вул.Пекарській в м.Коломиї</t>
  </si>
  <si>
    <t>Капітальний ремонт вуличного освітлення в с.Товмачик</t>
  </si>
  <si>
    <t xml:space="preserve">Капітальний ремонт вуличного освітлення по вулицях Шевченка, Франка, Гагаріна, Рубанська, Карпатська в селі Іванівці </t>
  </si>
  <si>
    <t>Капітальний ремонт мереж вуличного освітлення  с.Іванівці</t>
  </si>
  <si>
    <t>Капітальний ремонт вуличного освітлення в с.Воскресинці</t>
  </si>
  <si>
    <t>Субвенція обласному бюджету на придбання обладнання:</t>
  </si>
  <si>
    <t>Придбання ноутбуків для педагогічних працівників комунальних закладів загальної середньої освіти та їх філій для організації дистанційного навчання, інших форм здобуття загальної середньої освіти з використанням технологій дистанційного навчання</t>
  </si>
  <si>
    <t>Капітальний ремонт мереж вуличного освітлення в с.Саджавка</t>
  </si>
  <si>
    <t>Капітальний ремонт вуличного освітлення в с. Шепарівці ( вул.Гаєва, Зарічна, Миру, Мартовича, Грушевського, Довбуша, Прикарпатська, Шевченка)</t>
  </si>
  <si>
    <t>Капітальний ремонт скверу з встановленням дитячого майданчика по вул.Центральній в с.Іванівці</t>
  </si>
  <si>
    <t>Будівництво дитячого майданчика по вул. Володимира Чепіля в м. Коломия</t>
  </si>
  <si>
    <t>Нове будівництво світлофора по вул.Карпатській в м.Коломиї</t>
  </si>
  <si>
    <t>Нове будівництво каналізаційної мережі по вул. Бетховена та вул. Соборній в м. Коломиї</t>
  </si>
  <si>
    <t>Нове будівництво каналізаційної мережі по вул.Левицького в м. Коломиї</t>
  </si>
  <si>
    <t>Нове будівництво каналізаційної мережі по вул. Николишина в м. Коломиї</t>
  </si>
  <si>
    <t>Капітальний ремонт міжквартальних проїздів по вул. Петлюри, 42 в м. Коломиї</t>
  </si>
  <si>
    <t>Нове будівництво каналізаційної мережі по вул. Войнаровського в м. Коломиї</t>
  </si>
  <si>
    <t>Капітальний ремонт перехрестя вул.Міцкевича-вул.Кузьми з влаштуванням кільцевої розв'язки</t>
  </si>
  <si>
    <t>Придбання обладнання  (інклюзивного навчання)</t>
  </si>
  <si>
    <t>0611200</t>
  </si>
  <si>
    <t>0612151</t>
  </si>
  <si>
    <t>Капітальний ремонт приміщень першого поверху під компютерний томограф  структурного підрозділу "Стаціонар" КНП "Коломийська центральна районна лікарня" Коломийської міської ради за адресою: м. Коломия, вул. Родини Крушельницьких, 26</t>
  </si>
  <si>
    <t>Разом 3121</t>
  </si>
  <si>
    <t>0611021</t>
  </si>
  <si>
    <t>Капітальний ремонт приміщень гуртожитку КДЮСШ по вул. Петлюри, 17б в м. Коломия Івано-Франківської області</t>
  </si>
  <si>
    <t>Придбання обладнання (меблі)</t>
  </si>
  <si>
    <t>Капітальний ремонт адміністративного будинку в селі Раківчик по вул. Лесі Українки,1</t>
  </si>
  <si>
    <t>Капітальний ремонт дорожнього покриття вулиць Лесі Українки та Шкільної в селі Королівка</t>
  </si>
  <si>
    <t xml:space="preserve">Спрямування  залишку коштів </t>
  </si>
  <si>
    <t xml:space="preserve"> спеціального фонду (бюджету розвитку) станом на 01.01.2021 року</t>
  </si>
  <si>
    <t xml:space="preserve">Капітальний ремонт дитячого майданчика в селі Королівка по вул. Спортивна </t>
  </si>
  <si>
    <t xml:space="preserve">Разом по бюджету розвитку за 2021 рік </t>
  </si>
  <si>
    <t>Капітальний ремонт площадки в парку ім. Кирила Трильовського в м. Коломиї</t>
  </si>
  <si>
    <t>Капітальний ремонт гімнастичного залу КДЮСШ по бул. Л. Українки,43 в м. Коломия Івано-Франківської області</t>
  </si>
  <si>
    <t>Разом по бюджету розвитку за 2021 рік + вільний залишок на 01.01.2020р.</t>
  </si>
  <si>
    <t>Нове будівництво малого групового  будинку по вул. Маковея в місті Коломиї</t>
  </si>
  <si>
    <t>Капітальний ремонт дорожнього покриття вулиці Шопена в м.Коломиї</t>
  </si>
  <si>
    <t>Капітальний ремонт вулиці Семеренка в м.Коломиї</t>
  </si>
  <si>
    <t>Капітальний ремонт тротуарів по вул.Опришківській в м.Коломиї</t>
  </si>
  <si>
    <t>Капітальний ремонт міжквартальних проїздів по вулиці Куліша, 5, 7 в м. Коломиї</t>
  </si>
  <si>
    <t>Капітальний ремонт міжквартальних проїздів по вулиці Січових Стрільців, 34 в м. Коломиї</t>
  </si>
  <si>
    <t>Капітальний ремонт спортивного майданчика Коломийського ліцею №6 імені Героя України Тараса Сенюка по вул. М. Леонтовича, 14 в м. Коломиї</t>
  </si>
  <si>
    <t>Нове будівництво спортивного майданчика Коломийського ліцею № 2 по вул. М. Лисенка, 24 в м. Коломиї</t>
  </si>
  <si>
    <t>2151</t>
  </si>
  <si>
    <t>Капітальний ремонт дорожнього і тротуарного покриття вул.Міцкевича (заїзд до ЗОШ №1) в м.Коломиї</t>
  </si>
  <si>
    <t>Капітальний ремонт в приміщенні амбулаторії в селі Товмачик вул.Шкільна 34-А Коломийського району Івано-Франківської області</t>
  </si>
  <si>
    <t>0112010</t>
  </si>
  <si>
    <t>2010</t>
  </si>
  <si>
    <t>Придбання медичного обладнання (Неінвазивна система вентиляції (BIPAP / CPAP)</t>
  </si>
  <si>
    <t>Капітальний ремонт дорожнього покриття вул. Шкрумеляка в м. Коломиї</t>
  </si>
  <si>
    <t>Капітальний ремонт міжквартальних проїздів по вул. Заньковецької, 1 в м.Коломиї</t>
  </si>
  <si>
    <t>Капітальний ремонт дорожнього покриття вулиці Глибокої в м.Коломиї</t>
  </si>
  <si>
    <t>Капітальний ремонт тротуарів біля будинку №8 по вул.Пекарській в м.Коломиї</t>
  </si>
  <si>
    <t>Капітальний ремонт  міжквартальних проїздів по вул.Січових Стрільців, 33 в м.Коломиї</t>
  </si>
  <si>
    <t>Капітальний ремонт  міжквартальних проїздів по вул.Січових Стрільців, 39 в м.Коломиї</t>
  </si>
  <si>
    <t>Капітальний ремонт міжквартальних проїздів по вул. Коновальця, 19 в м.Коломиї</t>
  </si>
  <si>
    <t>Капітальний ремонт міжквартальних проїздів по вул.Валовій, 45 в м.Коломиї</t>
  </si>
  <si>
    <t xml:space="preserve">Капітальний ремонт приміщення першого поверху під компютерний томограф структурного підрозділу "Стаціонар КНП "Коломийська центральна районна лікарня" Коломийської міської ради за адресою м.Коломия вул. Родини Крушельницький, 26 Коригування </t>
  </si>
  <si>
    <t>Нове будівництво спортивного майданчику Коломийського ліцею №2 по вул. М.Лисенка, 24 в м. Коломия</t>
  </si>
  <si>
    <t>Капітальний ремонт міжквартальних проїздів по вул. Коновальця, 21 в м.Коломиї</t>
  </si>
  <si>
    <t>Капітальний ремонт спортивного майданчика по вул.Мазепи, 262 в м.Коломиї</t>
  </si>
  <si>
    <t>Реконструкція  бігових доріжок та легкоатлетичних секторів стадіону «Юність» по вулиці Петлюри в місті Коломиї, Івано-Франківської області</t>
  </si>
  <si>
    <t>Капітальний ремонт покрівлі Саджавського ліцею Коломийської міської ради по вул. Українська, 77а в с. Саджавка Надвірнянського району Івано- Франківської області</t>
  </si>
  <si>
    <t>Нове будівництво майданчика для системи підземного збору і зберігання сміття по вул.Шевченка в м.Коломиї</t>
  </si>
  <si>
    <t>Реставраційно-ремонтні роботи нежитлової будівлі  по проспекту М.Грушевського,1 в місті Коломиї (охоронний № 559)</t>
  </si>
  <si>
    <t>Реставраційно-ремонтні роботи будівлі Музею історії міста, що в м.Коломиї по вул.Шухевича, 80 (охоронний № 561)</t>
  </si>
  <si>
    <t>Капітальний ремонт нежитлового приміщення по вул. О. Кобилянської, 1 в м. Коломиї</t>
  </si>
  <si>
    <t>Капітальний ремонт нежитлового приміщення бібліотеки для юнацтва по вул. І. Мазепи, 183 в м. Коломиї</t>
  </si>
  <si>
    <t>Капітальний ремонт зовнішніх електричних мереж по вул. С. Петлюри, 11 в м. Коломиї</t>
  </si>
  <si>
    <t>Статутний капітал КП "Полігон Екологія"</t>
  </si>
  <si>
    <t>Капітальний ремонт тротуарів по вул. Костомарова, 2 в м. Коломиї</t>
  </si>
  <si>
    <t>Капітальний ремонт нежитлового приміщення МПК "Народний дім" за адресою: вул. Театральна, 27, м. Коломия Іваано-Франківської області</t>
  </si>
  <si>
    <t>Будівництво пандуса в Коломийському ліцеї №1 імені В.Стефаника по вул.Міцкевича,3 в м.Коломиї</t>
  </si>
  <si>
    <t>Капітальний ремонт нежитлового приміщення центру надання адміністративних послуг по площі Привокзальній, 2А/1 в місті Коломиї</t>
  </si>
  <si>
    <t>Капітальний ремонт тротуарів на перехресті вулиць Чехова-Петлюри в м. Коломиї</t>
  </si>
  <si>
    <t>Капітальний ремонт  каналізаційної мережі по вул. Січових Стрільців 23,25 в м. Коломиї</t>
  </si>
  <si>
    <t>Капітальний ремонт каналізаційної мережі по вул. Бандери, 7 в м. Коломиї</t>
  </si>
  <si>
    <t xml:space="preserve">Капітальний ремонт тротуарів по вул. Маковея  в м.Коломиї </t>
  </si>
  <si>
    <t>Нове будівництво водопроводу в с. Королівка Коломийської територіальної громади</t>
  </si>
  <si>
    <t>Капітальний ремонт дорожнього покриття вул. Андрія Шептицького в м. Коломиї</t>
  </si>
  <si>
    <t>Капітальний ремонт міжквартальних проїздів по вул.Мазепи,236, 250, 268, 270, 274 в м.Коломиї</t>
  </si>
  <si>
    <t>Статутний капітал КП «Коломияводоканал":</t>
  </si>
  <si>
    <t>- капітальний ремонт насосної станції</t>
  </si>
  <si>
    <r>
      <t>За рахунок субвенції з державного бюджету -</t>
    </r>
    <r>
      <rPr>
        <b/>
        <sz val="14"/>
        <color indexed="10"/>
        <rFont val="Times New Roman"/>
        <family val="1"/>
        <charset val="204"/>
      </rPr>
      <t xml:space="preserve"> РОБИМО ПЕРЕДАЧУ</t>
    </r>
    <r>
      <rPr>
        <b/>
        <sz val="14"/>
        <color indexed="8"/>
        <rFont val="Times New Roman"/>
        <family val="1"/>
        <charset val="204"/>
      </rPr>
      <t xml:space="preserve"> </t>
    </r>
  </si>
  <si>
    <t>Нове будівництво приміщення для розміщення малого групового будинку</t>
  </si>
  <si>
    <t xml:space="preserve">Капітальний ремонт нежитлового приміщення по вул. Українській, 68б в с. Саджавка </t>
  </si>
  <si>
    <t>Капітальний ремонт приміщень гуртожитку КДЮСШ по вул. Петлюри, 17б в м. Коломия Івано-Франківської області (корегування робочого проекту)</t>
  </si>
  <si>
    <t>Придбання у комунальну власність житла для надання в тимчасове користування внутрішньо переміщеним особам</t>
  </si>
  <si>
    <t>Капітальний ремонт даху нежитлового приміщення по площі Привокзальній, 2А/1 в місті Коломиї</t>
  </si>
  <si>
    <t>Капітальний ремонт дорожнього покриття вул. Шкрумеляка в м. Коломиї Івано-Франківської області</t>
  </si>
  <si>
    <t>Нове будівництво водопроводу від буд.№21а до буд.№55 по вул.Шарлая в м.Коломиї</t>
  </si>
  <si>
    <t>Нове будівництво водопроводу від вул.Гордієнка до вул.Косачівської в м.Коломиї</t>
  </si>
  <si>
    <t>Нове будівництво водопроводу по вул.Косачівській в м.Коломиї</t>
  </si>
  <si>
    <t>Нове будівництво водопроводу по вул.Топоровського в м.Коломиї</t>
  </si>
  <si>
    <t>Нове будівництво водопроводу по вул. Павлюка, Дорошенка,Граничній в м.Коломиї</t>
  </si>
  <si>
    <t>Капітальний ремонт вул. Кобилянської в м.Коломиї</t>
  </si>
  <si>
    <t>Капітальний ремонт дорожнього і тротуарного покриття вул.Чайковського в м.Коломиї</t>
  </si>
  <si>
    <t>Капітальний ремонт дорожнього і тротуарного покриття вул.Хмельницького (від вул.Петлюри до вул.Моцарта) в м.Коломиї</t>
  </si>
  <si>
    <t>Капітальний ремонт дорожнього і тротуарного покриття вул.Шипайла в м.Коломиї</t>
  </si>
  <si>
    <t>Капітальний ремонт нежитлової будівлі по вулиці С.Петлюри,85  в місті Коломиї</t>
  </si>
  <si>
    <t>Капітальний ремонт нежитлової будівлі по вулиці С.Стрільців, 23   в місті Коломиї</t>
  </si>
  <si>
    <t>Реконструкція нежитлової будівлі по проспекту М.Грушевського,1б в місті Коломиї</t>
  </si>
  <si>
    <t>Реконструкція нежитлової будівлі по вулиці Лермонтова,3 в місті Коломиї</t>
  </si>
  <si>
    <t>Реконструкція стадіону по вулиці Спортивна в селі Королівка, Коломийського району, Івано-Франківської області</t>
  </si>
  <si>
    <t xml:space="preserve">Капітальний ремонт покрівлі Коломийського ліцею № 1 імені Василя Стефаника по вул. Адама Міцкевича, 3 в м. Коломиї </t>
  </si>
  <si>
    <t>Капітальний ремонт заїзду з вул. Січових Стрільців до будинку № 25 в м. Коломиї</t>
  </si>
  <si>
    <r>
      <t>Капітальний ремонт каналізаційної мережі по вулиці</t>
    </r>
    <r>
      <rPr>
        <b/>
        <sz val="12"/>
        <color indexed="8"/>
        <rFont val="Times New Roman"/>
        <family val="1"/>
        <charset val="204"/>
      </rPr>
      <t xml:space="preserve"> </t>
    </r>
    <r>
      <rPr>
        <sz val="12"/>
        <color indexed="8"/>
        <rFont val="Times New Roman"/>
        <family val="1"/>
        <charset val="204"/>
      </rPr>
      <t>Шкрумеляка 22,24 в м.Коломиї</t>
    </r>
  </si>
  <si>
    <r>
      <t>За рахунок субвенції з державного бюджету -</t>
    </r>
    <r>
      <rPr>
        <b/>
        <sz val="14"/>
        <color indexed="10"/>
        <rFont val="Times New Roman"/>
        <family val="1"/>
        <charset val="204"/>
      </rPr>
      <t xml:space="preserve"> РОБИМО ПЕРЕДАЧУ</t>
    </r>
    <r>
      <rPr>
        <b/>
        <sz val="12"/>
        <color indexed="8"/>
        <rFont val="Times New Roman"/>
        <family val="1"/>
        <charset val="204"/>
      </rPr>
      <t xml:space="preserve"> 41050400 «Субвенція з місцевого бюджету на виплату грошової компенсації за належні для отримання жилі приміщення для сімей осіб, визначених абзацами 5-8 пункту 1 статті 10 Закону України «Про статус ветеранів війни, гарантії їх соціального захисту», для осіб з інвалідністю І –ІІ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визначених пунктами 11 - 14 частини другої статті 7 Закону України "Про статус ветеранів війни, гарантії їх соціального захисту", та які потребують поліпшення житлових умов за рахунок відповідної субвенції з державного бюджету»</t>
    </r>
  </si>
  <si>
    <t>10</t>
  </si>
  <si>
    <t>Субвенція обласному бюджету на:</t>
  </si>
  <si>
    <r>
      <t xml:space="preserve">За рахунок субвенції з державного бюджету - </t>
    </r>
    <r>
      <rPr>
        <b/>
        <sz val="16"/>
        <color indexed="10"/>
        <rFont val="Times New Roman"/>
        <family val="1"/>
        <charset val="204"/>
      </rPr>
      <t>РОБИМО ПЕРЕДАЧУ</t>
    </r>
    <r>
      <rPr>
        <b/>
        <sz val="16"/>
        <rFont val="Times New Roman"/>
        <family val="1"/>
        <charset val="204"/>
      </rPr>
      <t xml:space="preserve"> (41033200 "Субвенція з державного бюджету місцевим бюджетам на формування інфраструктури об'єднаних територіальних громад"-  </t>
    </r>
    <r>
      <rPr>
        <b/>
        <sz val="16"/>
        <color indexed="10"/>
        <rFont val="Times New Roman"/>
        <family val="1"/>
        <charset val="204"/>
      </rPr>
      <t>РОБИМО ПЕРЕДАЧУ</t>
    </r>
  </si>
  <si>
    <t>Разом 3240</t>
  </si>
  <si>
    <t>0117330</t>
  </si>
  <si>
    <t>Капремонт будівлі  Коломийського закладу дошкільної освіти № 3 "Берізка" вул. Гн. Ковцуняка, 1В, м. Коломия Івано-Франківська область</t>
  </si>
  <si>
    <t>Капремонт будівлі Коломийського ліцею №1 ім. В.Стефаника, вул.Міцкевича, 3</t>
  </si>
  <si>
    <t>Фінансове управління</t>
  </si>
  <si>
    <t>Міська рада</t>
  </si>
  <si>
    <t>Назва об'єкту відповідно до проектно-кошторисної документації</t>
  </si>
  <si>
    <t xml:space="preserve">Код типової відомчої класифікації видатків місцевих бюджетів </t>
  </si>
  <si>
    <t>Найменування коду тимчасової класифікації видатків та кредитування місцевих бюджетів</t>
  </si>
  <si>
    <t xml:space="preserve">Капітальний ремонт тротуарів по вул. Бандери, 1,3  в м.Коломиї </t>
  </si>
  <si>
    <t xml:space="preserve">Капітальний ремонт тротуарів по вул. Бандери, 5,7  в м.Коломиї </t>
  </si>
  <si>
    <t xml:space="preserve">Капітальний ремонт тротуарів по вул. Бандери 1,3,5,7  в м.Коломиї </t>
  </si>
  <si>
    <t xml:space="preserve">Капітальний ремонт фасаду Коломийського ліцею № 1 імені Василя Стефаника по вул. Адама Міцкевича, 3 в м. Коломиї </t>
  </si>
  <si>
    <t xml:space="preserve">Капітальний ремонт покрівлі Коломийського ліцею № 5 імені Т. Г. Шевченка по пр. Михайла Грушевського, 64 в м. Коломиї </t>
  </si>
  <si>
    <t>Капітальний ремонт фасаду Коломийського ліцею № 5 імені Т. Г. Шевченка по пр. Михайла Грушевського, 64 в м. Коломиї</t>
  </si>
  <si>
    <t xml:space="preserve">Капітальний ремонт даху Коломийської гімназії № 7 по вул. Карпатська, 74 в м. Коломиї </t>
  </si>
  <si>
    <t xml:space="preserve">Капітальний ремонт фасаду Коломийського ліцею № 8 по вул. Євгена Коновальця, 11 в м. Коломиї </t>
  </si>
  <si>
    <t xml:space="preserve">Капітальний ремонт покрівлі Коломийського ліцею імені Михайла Грушевського по вул. Івана Франка, 19 в м. Коломиї </t>
  </si>
  <si>
    <t xml:space="preserve">    за рахунок коштів бюджету розвитку                                                                                                                                   </t>
  </si>
  <si>
    <t>Управління освіти</t>
  </si>
  <si>
    <t>Разом 3110</t>
  </si>
  <si>
    <t>Разом 3132</t>
  </si>
  <si>
    <t>Залишки асигнувань</t>
  </si>
  <si>
    <t>Департамент соціальної політики</t>
  </si>
  <si>
    <t>Відділ молоді та спорту</t>
  </si>
  <si>
    <t>0110000</t>
  </si>
  <si>
    <t>0110150</t>
  </si>
  <si>
    <t>0150</t>
  </si>
  <si>
    <t>0117321</t>
  </si>
  <si>
    <t>0117325</t>
  </si>
  <si>
    <t>0117340</t>
  </si>
  <si>
    <t>0117350</t>
  </si>
  <si>
    <t>Разом 3142</t>
  </si>
  <si>
    <t>7325</t>
  </si>
  <si>
    <t>Разом 3122</t>
  </si>
  <si>
    <t>Разом 3143</t>
  </si>
  <si>
    <t>Разом 2281</t>
  </si>
  <si>
    <t>0610000</t>
  </si>
  <si>
    <t>0610160</t>
  </si>
  <si>
    <t>0611010</t>
  </si>
  <si>
    <t>0611020</t>
  </si>
  <si>
    <t>0160</t>
  </si>
  <si>
    <t>1010</t>
  </si>
  <si>
    <t>0810000</t>
  </si>
  <si>
    <t>0813105</t>
  </si>
  <si>
    <t>1010000</t>
  </si>
  <si>
    <t>1010160</t>
  </si>
  <si>
    <t>1014030</t>
  </si>
  <si>
    <t>1014040</t>
  </si>
  <si>
    <t>1014060</t>
  </si>
  <si>
    <t>1011100</t>
  </si>
  <si>
    <t>4030</t>
  </si>
  <si>
    <t>1110000</t>
  </si>
  <si>
    <t>3110000</t>
  </si>
  <si>
    <t>Капітальний ремонт міжквартальних проїздів</t>
  </si>
  <si>
    <t>Капітальний ремонт майданчиків</t>
  </si>
  <si>
    <t>Капітальний ремонт мереж зовнішнього освітлення</t>
  </si>
  <si>
    <t>3117370</t>
  </si>
  <si>
    <t>Разом 3210</t>
  </si>
  <si>
    <t>3710160</t>
  </si>
  <si>
    <t>0116011</t>
  </si>
  <si>
    <t>6011</t>
  </si>
  <si>
    <t>Капітальні видатки на програму "Громадський бюджет міста Коломиї на 2017-2021 роки":</t>
  </si>
  <si>
    <t>0110180</t>
  </si>
  <si>
    <t>0180</t>
  </si>
  <si>
    <t>0117323</t>
  </si>
  <si>
    <t>7323</t>
  </si>
  <si>
    <t>0813221</t>
  </si>
  <si>
    <t>Капітальні видатки на " Програму співфінансування проведення капітальних ремонтів в житлових будинках ОСББ м. Коломиї на 2018-2022 роки"</t>
  </si>
  <si>
    <t>Затверджений план на 2019 рік</t>
  </si>
  <si>
    <t>Всьго видатків на поточний 2019 рік (Уточнений план)</t>
  </si>
  <si>
    <t xml:space="preserve">Перелік об'єктів, видатки на які у 2021 році будуть проводитись   </t>
  </si>
  <si>
    <t xml:space="preserve">                                                            Коломийської міської  територіальної громади</t>
  </si>
  <si>
    <t>Затверджений план на 2021 рік</t>
  </si>
  <si>
    <t>Уточнений план на 2021 рік</t>
  </si>
  <si>
    <t>Профінансовано станом на 01.12.2019 року</t>
  </si>
  <si>
    <t>31.12.2019р.</t>
  </si>
  <si>
    <r>
      <t xml:space="preserve">За рахунок субвенції з обласного бюджету - </t>
    </r>
    <r>
      <rPr>
        <b/>
        <sz val="14"/>
        <color indexed="10"/>
        <rFont val="Times New Roman"/>
        <family val="1"/>
        <charset val="204"/>
      </rPr>
      <t>РОБИМО ПЕРЕДАЧУ</t>
    </r>
    <r>
      <rPr>
        <b/>
        <sz val="14"/>
        <rFont val="Times New Roman"/>
        <family val="1"/>
        <charset val="204"/>
      </rPr>
      <t xml:space="preserve"> 41051100 "Субвенція з місцевого бюджету за рахунок залишку коштів освітньої субвенції, що утворився на початок бюджетного періоду"</t>
    </r>
  </si>
  <si>
    <t>0810160</t>
  </si>
  <si>
    <t>Управління культури</t>
  </si>
  <si>
    <t>1014081</t>
  </si>
  <si>
    <t>4081</t>
  </si>
  <si>
    <t>1014082</t>
  </si>
  <si>
    <t>4082</t>
  </si>
  <si>
    <t>Капітальний ремонт вулиць</t>
  </si>
  <si>
    <t>Управління Культури</t>
  </si>
  <si>
    <t>Капітальний ремонт тротуарів</t>
  </si>
  <si>
    <t>Капітальний ремонт каналізацйних мереж</t>
  </si>
  <si>
    <t>3117323</t>
  </si>
  <si>
    <t>Капітальний ремонт автобусних зупинок</t>
  </si>
  <si>
    <t>Код Функціональної класифікації видатків та кредитування бюджету</t>
  </si>
  <si>
    <t>01</t>
  </si>
  <si>
    <t>Капітальний ремонт інших об'єктів</t>
  </si>
  <si>
    <t xml:space="preserve">Спрямування залишок коштів загального фонду як субвенцію з державного бюджету місцевим бюджетам </t>
  </si>
  <si>
    <t>0116083</t>
  </si>
  <si>
    <t>Придбання житла у прийнятого в експлуатацію житлового будинку сімейного типу</t>
  </si>
  <si>
    <r>
      <t xml:space="preserve">на здійснення заходів щодо соціально –економічного розвитку окремих територій - субвенція </t>
    </r>
    <r>
      <rPr>
        <b/>
        <sz val="20"/>
        <color indexed="10"/>
        <rFont val="Times New Roman"/>
        <family val="1"/>
        <charset val="204"/>
      </rPr>
      <t>41034501</t>
    </r>
    <r>
      <rPr>
        <b/>
        <sz val="16"/>
        <color indexed="8"/>
        <rFont val="Times New Roman"/>
        <family val="1"/>
        <charset val="204"/>
      </rPr>
      <t xml:space="preserve"> - </t>
    </r>
    <r>
      <rPr>
        <b/>
        <sz val="16"/>
        <color indexed="10"/>
        <rFont val="Times New Roman"/>
        <family val="1"/>
        <charset val="204"/>
      </rPr>
      <t>РОБИМО ПЕРЕДАЧУ</t>
    </r>
  </si>
  <si>
    <t>0117363</t>
  </si>
  <si>
    <t>Будівництво типової будівлі басейну "Н2О-CLASSIC" по вул. Богдана Хмельницького, 67 у м. Коломия</t>
  </si>
  <si>
    <t>Капітальний ремонт нежитлового приміщення по вул. Шевченка, 21 в м.Коломиї</t>
  </si>
  <si>
    <t>06</t>
  </si>
  <si>
    <t>0617363</t>
  </si>
  <si>
    <t>31</t>
  </si>
  <si>
    <t>3117363</t>
  </si>
  <si>
    <t>Капітальний ремонт пішохідних доріжок в парку Т. Шевченка м. Коломия Івано-Франківської області</t>
  </si>
  <si>
    <t>ВСЬОГО</t>
  </si>
  <si>
    <t xml:space="preserve">Управління комунального господарства </t>
  </si>
  <si>
    <r>
      <t xml:space="preserve">на здійснення заходів щодо соціально –економічного розвитку окремих територій - субвенція </t>
    </r>
    <r>
      <rPr>
        <b/>
        <sz val="20"/>
        <color indexed="10"/>
        <rFont val="Times New Roman"/>
        <family val="1"/>
        <charset val="204"/>
      </rPr>
      <t>41054101</t>
    </r>
    <r>
      <rPr>
        <b/>
        <sz val="16"/>
        <color indexed="8"/>
        <rFont val="Times New Roman"/>
        <family val="1"/>
        <charset val="204"/>
      </rPr>
      <t xml:space="preserve"> - </t>
    </r>
    <r>
      <rPr>
        <b/>
        <sz val="16"/>
        <color indexed="10"/>
        <rFont val="Times New Roman"/>
        <family val="1"/>
        <charset val="204"/>
      </rPr>
      <t>РОБИМО ПЕРЕДАЧУ</t>
    </r>
  </si>
  <si>
    <t>0112151</t>
  </si>
  <si>
    <t>Будівництво футбольного поля  Коломийського ліцею №5 імені Т. Г. Шевченка по пр. Михайла Грушевського, 64 в м. Коломиї   ( за робочим проектом «Будівництво футбольного поля ЗОШ №5 по проспекту Грушевського,64 в м.Коломиї»)</t>
  </si>
  <si>
    <t>Нове будівництво транспортабельної модульної котельні в Коломийському ліцеї №8 на вул. Євгена Коновальця, 10 у м. Коломиї Івано-Франківської області</t>
  </si>
  <si>
    <t>Нове будівництво транспортабельної модульної котельні в Коломийському закладі дошкільної освіти (ясла-садок) № 3 "Берізка" на вул. Гната Ковцуняка, 1В у м. Коломиї Івано-Франківської області</t>
  </si>
  <si>
    <t>Реконструкція будівлі Коломийського ліцею №4 імені Сергія Лисенка по вул. М.Заньковецької, 11 в м. Коломиї</t>
  </si>
  <si>
    <t>Реконструкція будівлі Коломийського ліцею №1 імені Василя Стефаника по вул. Адама Міцкевича, 3 в м. Коломиї</t>
  </si>
  <si>
    <r>
      <t xml:space="preserve">За рахунок субвенції з державного бюджету  - </t>
    </r>
    <r>
      <rPr>
        <b/>
        <sz val="14"/>
        <color indexed="10"/>
        <rFont val="Times New Roman"/>
        <family val="1"/>
        <charset val="204"/>
      </rPr>
      <t xml:space="preserve">РОБИМО ПЕРЕДАЧУ </t>
    </r>
    <r>
      <rPr>
        <b/>
        <sz val="18"/>
        <color indexed="10"/>
        <rFont val="Times New Roman"/>
        <family val="1"/>
        <charset val="204"/>
      </rPr>
      <t>(41034501</t>
    </r>
    <r>
      <rPr>
        <b/>
        <sz val="14"/>
        <color indexed="10"/>
        <rFont val="Times New Roman"/>
        <family val="1"/>
        <charset val="204"/>
      </rPr>
      <t xml:space="preserve">- </t>
    </r>
    <r>
      <rPr>
        <b/>
        <sz val="14"/>
        <color indexed="8"/>
        <rFont val="Times New Roman"/>
        <family val="1"/>
        <charset val="204"/>
      </rPr>
      <t>Субвенція з державного бюджету  місцевим бюджетам на здійснення заходів щодо соціально-економічного розвитку окремих територій )</t>
    </r>
  </si>
  <si>
    <t>Разом 3220</t>
  </si>
  <si>
    <t>1017340</t>
  </si>
  <si>
    <t>За рахунок субвенції з обласного бюджету (41053900- Інша субвенція )</t>
  </si>
  <si>
    <t xml:space="preserve">Капітальний ремонт дитячого майданчика по вул Перемоги, 24 с. Корнич </t>
  </si>
  <si>
    <t>Управління комунального господарства</t>
  </si>
  <si>
    <t>ВСЬОГО по субвенціях 41034501</t>
  </si>
  <si>
    <t>0118311</t>
  </si>
  <si>
    <t>0112051</t>
  </si>
  <si>
    <t>2051</t>
  </si>
  <si>
    <t>Затверджений план на 2020 рік</t>
  </si>
  <si>
    <t>Всьго видатків на поточний 2020 рік (Уточнений план)</t>
  </si>
  <si>
    <t>0816083</t>
  </si>
  <si>
    <r>
      <t xml:space="preserve">За рахунок субвенції з державного бюджету - </t>
    </r>
    <r>
      <rPr>
        <b/>
        <sz val="14"/>
        <color indexed="10"/>
        <rFont val="Times New Roman"/>
        <family val="1"/>
        <charset val="204"/>
      </rPr>
      <t>РОБИМО ПЕРЕДАЧУ</t>
    </r>
    <r>
      <rPr>
        <b/>
        <sz val="14"/>
        <color indexed="63"/>
        <rFont val="Times New Roman"/>
        <family val="1"/>
        <charset val="204"/>
      </rPr>
      <t xml:space="preserve"> 41050900 "Субвенція з місцевого бюджету на проектні, будівельно-ремонтні роботи, придбання житла та приміщень для розвитку сімейних та інших форм виховання, наближених до сімейних, та забезпечення житлом дітей-сиріт, дітей, позбавлених батьківського піклування, осіб з їх числа за рахунок відповідної субвенції з державного бюджету"</t>
    </r>
  </si>
  <si>
    <t>Профінансовано станом на 02.11.2020 року</t>
  </si>
  <si>
    <t>Капітальний ремонт міжквартальних проїздів по вул.Шкрумеляка, 20 в м.Коломиї</t>
  </si>
  <si>
    <t>Капітальний ремонт міжквартальних проїздів по вул.Шкрумеляка, 39 в м.Коломиї</t>
  </si>
  <si>
    <t>01.12.2020р.</t>
  </si>
  <si>
    <t>Капітальний ремонт даху будівлі по проспекту Грушевського,1 в м. Коломиї Івано-Франківської області</t>
  </si>
  <si>
    <t>Капітальний ремонт нежитлової будівлі по пр. Грушевського, 1 в м. Коломиї</t>
  </si>
  <si>
    <t>Капітальний ремонт приміщення по вул.Привокзальна,2 в м.Коломиї</t>
  </si>
  <si>
    <t>Капітальний ремонт нежитлових приміщень по вул.Українській,68 в селі Саджавка Надвірнянського району, Івано-Франківської області</t>
  </si>
  <si>
    <t>Капітальний ремонт нежитлового приміщення по вул. Українська, 68Б в с. Саджавка</t>
  </si>
  <si>
    <t>Капітальний ремонт мереж зовнішнього освітлення спортивного майданчика в с. Саджавка</t>
  </si>
  <si>
    <t>Капітальний ремонт футбольного поля зі штучним покриттям в с. Воскресинці</t>
  </si>
  <si>
    <t>Капітальний ремонт будівлі по вул. Шевченка в с. Воскресинці Коломийського району Івано-Франківської області</t>
  </si>
  <si>
    <t>Капітальний ремонт нежитлового приміщення (адмін.будинку) І поверх в селі Товмачик вул.Шкільна 34-А Коломийського району Івано-Франківської області</t>
  </si>
  <si>
    <t>Капітальний ремонт  приміщення адмінбудинку по вул. Шкільній, 34а в селі Товмачик Коломийського району, Івано-Франківської області</t>
  </si>
  <si>
    <t>Капітальний ремонт спортивного майданчика по вул. Перемоги, 14 в с. Корнич</t>
  </si>
  <si>
    <t>Капітальний ремонт нежитлового приміщення по вул. Шевченка, 70 в с. Шепарівці</t>
  </si>
  <si>
    <t>Придбання контейнерів для твердих побутових відходів</t>
  </si>
  <si>
    <t>Капітальний ремонт дорожнього і тротуарного покриття по вул. Винниченка в м. Коломиї Івано-Франківської області</t>
  </si>
  <si>
    <t>Капітальний ремонт дорожнього і тротуарного покриття вул. Чайковського в м. Коломиї Івано-Франківської області</t>
  </si>
  <si>
    <t>Капітальний ремонт прибудинкової території  по вулиці Палія, 28 в місті Коломиї, Івано-Франківської області</t>
  </si>
  <si>
    <t>Капітальний ремонт міжквартальних проїздів по вулицях Яворницького – Крип’якевича в місті Коломиї, Івано-Франківської області</t>
  </si>
  <si>
    <t>Капітальний ремонт дитячого та спортивного майданчиків по вул. Українська, 68 в селі Саджавка, Надвірнянського району, Івано-Франківської області</t>
  </si>
  <si>
    <t>Капітальний ремонт багатоквартирного будинку по вул. Довженка, 16 в м. Коломиї</t>
  </si>
  <si>
    <t>Придбання житла у прийнятого в експлуатацію житлового будинку для дитячого будинку сімейного типу</t>
  </si>
  <si>
    <t>Капітальний ремонт ливневої каналізації багатоквартирного будинку по вул. Довженка, 14 в м. Коломиї</t>
  </si>
  <si>
    <t>Капітальний ремонт багатоквартирного будинку по вул. Довженка, 12 в м. Коломиї</t>
  </si>
  <si>
    <t>Капітальний ремонт нежитлової будівлі по вулиці С.Петлюри,85А  в місті Коломиї</t>
  </si>
  <si>
    <t>Капітальний ремонт нежитлової будівлі по вулиці С.Стрільців, 23/4   в місті Коломиї</t>
  </si>
  <si>
    <t>Капітальний ремонт приміщення клубу по вул. Центральна, 8а в с. Іванівці, Коломийського р-ну</t>
  </si>
  <si>
    <t>Нове будівництво спортивного залу та майстернь Коломийського ліцей №9 по вул. М.Драгоманова,1 в м. Коломия , Івано-Франківській області (за робочим проектом "Нове будівництво спортивного залу та майстерень КоломийськогоНВК №9 "Школа-природничого-математичного ліцею" по вул.Драгоманова,1 в м. Коломиї, івано-франківській області. Коригування РП.)</t>
  </si>
  <si>
    <t>Будівництво футбольного поля Коломийського ліцею №5 імені Т.Г.Шевченка по пр. Михайла Грушевського, 64 в м. Коломиї (за робочим проектом "Будівництво футбольного поля ЗОШ №5 по пр. Грушевського, 64 в м. Коломиї")</t>
  </si>
  <si>
    <t>Реконструкція будівлі Коломийського ліцей №4 ім. Сергія Лисенка по вул. М.Заньковецької, 11 в м.Коломиї</t>
  </si>
  <si>
    <t>Реконструкція будівлі Коломийського ліцей №1 ім. Василя Стефаника по вул. Адама Міцкевича,3 в м. Коломия</t>
  </si>
  <si>
    <t>Реконструкція будівлі Коломийського закладу дошкільної освіти (ясла-садок) №3 "Берізка" по вул. Ковцуняка,1-в м . Коломия</t>
  </si>
  <si>
    <t>Нове будівництво трибуни та огорожі та освітлення для фізичної культури і спорту в місті Коломия на вул. Гетьмана Івана Мазепи біля будинків 291-293</t>
  </si>
  <si>
    <t>Реконструкція площі Скорботи по вул. Січ.Стрільців,1 в м. Коломиї</t>
  </si>
  <si>
    <t>Реконструкція та покращення технічного стану озера в парку ім. Т.Шевченка в м. Коломиї</t>
  </si>
  <si>
    <t>Реконструкція системи газопостачання котелень Коломийського заклдаду дошкільної освіти (ясла-салок) №3 "Берізка" по вул. Ковцуняка,1-в м. Коломия</t>
  </si>
  <si>
    <t>Реконструкція системи газопостачання котелень Коломийського ліцею №8 по вул. Коновальця, 10 м. Коломия</t>
  </si>
  <si>
    <t>Капітальний ремонт тротуарів по пл.Ринок в м. Коломия</t>
  </si>
  <si>
    <t>Капітальний ремонт міжквартальний проїзд по вул. Куліша, 5,7 в м. Коломиї</t>
  </si>
  <si>
    <t>Капітальний ремонт дощової каналізації та прибудинкової території  по вул. Дмитра Яворницького, 26 в м.Коломиї</t>
  </si>
  <si>
    <t>Капітальний ремонт автобусної зупинки по вул.Довбуша, 420 в м.Коломиї</t>
  </si>
  <si>
    <t>Капітальний ремонт мереж зовнішнього освітлення спортивного майданчику в с. Воскресинці</t>
  </si>
  <si>
    <t>Нове будівництво майданчика для системи підземного збору і зберігання сміття в м.Коломиї</t>
  </si>
  <si>
    <t>Капітальний ремонт пасажирських ліфтів по вул. Леонтовича, 20 п.1-п.3 м. Коломия</t>
  </si>
  <si>
    <t>Капітальний ремонт покрівлі даху житлового будинку по вул.Костомарова,1 в м. Коломиї</t>
  </si>
  <si>
    <t>Капітальний ремонт пасажирських ліфтів  вул. Яворницького 20 п.1, п.2, п.3, м.Коломия</t>
  </si>
  <si>
    <t>Капітальний ремонт сходових кліток багатоквартирного житлового будинку по вул. Богуна, 32 в м. Коломия Івано-Франківської області</t>
  </si>
  <si>
    <t>Капітальний ремонт зовнішньої каналізаційної мережі по вул. Чайковського 40 в м.Коломия Івано-Франківської обл.</t>
  </si>
  <si>
    <t>Капітальний ремонт даху та входів в під'їзд в житловому будинку №8  по вул. В.Стефаника в м.Коломиї</t>
  </si>
  <si>
    <t>Капітальний ремонт дахового покриття багатоквартирного будинку по вул. Шухевича 3 в м. Коломия Івано-Франківської обл.</t>
  </si>
  <si>
    <r>
      <t xml:space="preserve">За рахунок субвенції з обласного бюджету  -  </t>
    </r>
    <r>
      <rPr>
        <b/>
        <sz val="14"/>
        <color indexed="10"/>
        <rFont val="Times New Roman"/>
        <family val="1"/>
        <charset val="204"/>
      </rPr>
      <t xml:space="preserve">41051400- </t>
    </r>
    <r>
      <rPr>
        <b/>
        <sz val="14"/>
        <color indexed="8"/>
        <rFont val="Times New Roman"/>
        <family val="1"/>
        <charset val="204"/>
      </rPr>
      <t xml:space="preserve"> Субвенція з місцевого бюджету на забезпечення якісної, сучасної та доступної загальної середньої освіти "ова українська школа" за рахунок відповідної субвенції з державного бюджету</t>
    </r>
    <r>
      <rPr>
        <b/>
        <sz val="14"/>
        <color indexed="10"/>
        <rFont val="Times New Roman"/>
        <family val="1"/>
        <charset val="204"/>
      </rPr>
      <t xml:space="preserve">) </t>
    </r>
  </si>
  <si>
    <t>0611182</t>
  </si>
  <si>
    <t>На закупівлю засобів навчання та обладнання (крім комп'ютерного)</t>
  </si>
  <si>
    <t xml:space="preserve">Капітальний ремонт тротуарів по вул.Франка від вул. Павлика до вул Моцарта  в м.Коломиї </t>
  </si>
  <si>
    <t>Капітальний ремонт сходових кліток багатоквартирного житлового будинку по вул. Богуна, 36 в м. Коломия Івано-Франківської області</t>
  </si>
  <si>
    <t>Капітальний ремонт зовнішньої каналізації житлового будинку по вул. Богуна, 36 в м. Коломия Івано-Франківської області</t>
  </si>
  <si>
    <t xml:space="preserve">Капітальний ремонт внутрішніх електромереж житлового будинку по вул.Костомарова,2 в м.Коломия Івано - Франківської області </t>
  </si>
  <si>
    <t xml:space="preserve">Субвенція обласному бюджету </t>
  </si>
  <si>
    <t>придбання сучасних меблів</t>
  </si>
  <si>
    <t>Придбання компютерної техніки</t>
  </si>
  <si>
    <t>Капітальний ремонт приміщень першого поверху під компютерний томограф  структурного підрозділу "Стаціонар" КНП "Коломийська центральна районна лікарня" Коломийської міської ради за адресою: м. Коломия, вул. Родини Крушельницьких, 26 Коригування</t>
  </si>
  <si>
    <t>Капітальний ремонт покрівлі багатоквартирного житлового будинку по пл. Привокзальна, 12 в м. Коломия Івано-Франківської області</t>
  </si>
  <si>
    <t>Капітальний ремонт даху багатоквартирного житлового будинку по вул. І. Мазепи, 274 в м. Коломия Івано-Франківаської області</t>
  </si>
  <si>
    <t>Капітальний ремонт внутрібудинкової системи водопостачання  та ремонту покрівлі багатоквартирного житлового будинку ОСББ «Крип'якевича» №36 в м. Коломия Івано-Франківської області</t>
  </si>
  <si>
    <t>Капітальний ремонт даху в житловому будинку №38 по вул. Ю.Шухевича та №17 по вул.С.Бандери в м.Коломия</t>
  </si>
  <si>
    <t>Ремонт пасажирських ліфтів вул.Січавих Стрільців 23, п.1,п.2,п.3, м Коломия</t>
  </si>
  <si>
    <t>Капітальний ремонт сходових кліток в багатоквартирному будинку  по вул. Костомарова,2 в м.Коломия Івано-Франківської області</t>
  </si>
  <si>
    <t>Капітальний ремонт елементів покрівлі житлового будинку по вул.Костомарова,2 в м.Коломия Івано-Франківської області</t>
  </si>
  <si>
    <t>Капітальний ремонт даху будинку за адресою вул.Моцарта,20 в м.Коломия Івано-Франківської області</t>
  </si>
  <si>
    <t>Капітальний ремонт покрівлі багатоквартирного житлового будинку по пр-ту Грушевського, 45А в м. Коломия Івано-Франківської області</t>
  </si>
  <si>
    <t>Капітальний ремонт даху (заміна покриття) житлового будинку по вул. І.Мазепи, 78 в м.Коломия Івано-Франківської області</t>
  </si>
  <si>
    <t>Капітальний ремонт сходових кліток в будинку по вул.Богуна,30 в м.Коломиї</t>
  </si>
  <si>
    <t>0116082</t>
  </si>
  <si>
    <t>Програма "Забезпечення тимчасовим житлом внутрішньо-переміщених осіб на 2021 рік"</t>
  </si>
  <si>
    <t>Придбання житла</t>
  </si>
  <si>
    <t>Нове будівництво спортивного залу та майстерень Коломийського ліцею №9  по вул. М. Драгоманова, 1 в м. Коломиї, Івано Франківської області(за робочим проектом "Нове будівництво спортивного залу та майстерень Коломийського НВК №9 "Школа-природничо-математичний ліцей"  по вул. М. Драгоманова, 1 в м. Коломиї, Івано Франківської області. Коригування РП.")</t>
  </si>
  <si>
    <t>Будівництво пандуса в Коломийському ліцею №4 імені Сергія Лисенка по вул.Заньковецької,11 в м.Коломиї</t>
  </si>
  <si>
    <t>Будівництво пандуса в Коломийському ліцею №6 імені Героя України Тараса Сенюка  по вул.Леонтовича,14 в м.Коломиї</t>
  </si>
  <si>
    <t xml:space="preserve">Капітальний ремонт покрівлі Єдиного центру надання реабілітаційних та соціальних послуг міста Коломиї по вул. Я. Пстрака,2 в </t>
  </si>
  <si>
    <t>Будівництво пандуса в Коломийській гімназії №7 по вул. Карпатській, 74 в м. Коломиї</t>
  </si>
  <si>
    <t>Нове будівництво паркової зони по вул.Мазепи в м.Коломиї (кадастровий номер 2610600000:27:003:0004)</t>
  </si>
  <si>
    <t>Реконструкція будівлі Єдиниго центру надання реабілітаційних та соціальних послуг міста Коломиї по вул. Я. Пстрака,2 в</t>
  </si>
  <si>
    <r>
      <t>Реконструкція  парку пам</t>
    </r>
    <r>
      <rPr>
        <sz val="12"/>
        <color indexed="8"/>
        <rFont val="Arial"/>
        <family val="2"/>
        <charset val="204"/>
      </rPr>
      <t>'</t>
    </r>
    <r>
      <rPr>
        <sz val="12"/>
        <color indexed="8"/>
        <rFont val="Times New Roman"/>
        <family val="1"/>
        <charset val="204"/>
      </rPr>
      <t>ятки садово-паркового мистецтва  ім. Кирила Трильовського у місті Коломия</t>
    </r>
  </si>
  <si>
    <t>"Будівництво типової будівлі басейну "Н2О-CLASSIC"  по вул. Богдана Хмельницького, 67 у м. Коломия" Коригування кошторисної частини</t>
  </si>
  <si>
    <t xml:space="preserve">Нове будівництво футбольного поля по вул. Довбуша, 108 у м. Коломиї </t>
  </si>
  <si>
    <t>Нове будівництво трибуни та огорожі для фізичної культури і спорту в місті Коломия на вул. Гетьмана Івана Мазепи біля будинків 291-293</t>
  </si>
  <si>
    <t>"Нове будівництво модульного спортивного залу КУ "Молодіжний центр" в с.Королівка по вул.Спортивна, Коломийського району, Івано-Франківської області" (коригування)</t>
  </si>
  <si>
    <t>Реставраційно-ремонтні роботи нежитлового приміщення по вул. С.Петлюри, 11 в м.Коломия Івано-Франківської області</t>
  </si>
  <si>
    <t>Програма містобудівного кадастру та оновлення містобудівної документації міста Коломиї на 2017-2021 роки</t>
  </si>
  <si>
    <t>Розробка схем та проектних рішень масового застосування ( на виконання міської цільової програми містобудівного кадастру та оновлення містобудівної документації міста Коломиї на 2017-2021 роки)</t>
  </si>
  <si>
    <t>Придбання обладнання</t>
  </si>
  <si>
    <t>Капітальний ремонт харчоблоку Коломийського закладу дошкільної освіти (ясла-садок) № 3 «Берізка» по вул.Гн.Ковцуняка,1 В в м.Коломиї</t>
  </si>
  <si>
    <t>Капітальний ремонт пральні Коломийського закладу дошкільної освіти (ясла-садок) № 11 по вул. Лисенка, 18а в м. Коломиї</t>
  </si>
  <si>
    <t>Капітальний ремонт харчоблоку Коломийського закладу дошкільної освіти (ясла-садок) № 16 «Орлятко» по пр. М. Грушевського, 78 в м. Коломиї</t>
  </si>
  <si>
    <t>Капітальний ремонт дощової каналізації по вул. Січових Стрільців 23а в м.Коломиї</t>
  </si>
  <si>
    <t>Капітальний ремонт дощової каналізації по вул. Гетьманській в  м.Коломиї</t>
  </si>
  <si>
    <t>Капітальний ремонт Коломийського закладу дошкільної освіти (ясла-садок)  № 19 «Ромашка» по вул. А.Чайковського,20 в м. Коломиї</t>
  </si>
  <si>
    <t>Капітальний ремонт (заміна вікон, дверей) Коломийського закладу дошкільної освіти (ясла-садок)  № 19 «Ромашка» по вул. А.Чайковського,20 в м. Коломиї</t>
  </si>
  <si>
    <t>Придбання обладнання (оргтехніки, комп'ютерної техніки)</t>
  </si>
  <si>
    <t>Реконструкція стадіону по вулиці Спортивній в селі Королівка Коломийського району Івано-Франківської області</t>
  </si>
  <si>
    <t>Придбання обладнання для "Нової Української школи"</t>
  </si>
  <si>
    <t xml:space="preserve">Придбання житлового будинку з прилеглою земельною ділянкою для дитячого будинку сімейного типу </t>
  </si>
  <si>
    <t>Капітальний ремонт  дорожнього покриття вул. Довженка в м.Коломиї</t>
  </si>
  <si>
    <t>Капітальний ремонт  дорожнього покриття  вул. Глінки в м.Коломиї</t>
  </si>
  <si>
    <t>Капітальний ремонт  дорожнього покриття  вул. Ранкової в м.Коломиї</t>
  </si>
  <si>
    <t>Капітальний ремонт міжквартальних проїздів по вул.Привокзальній, 11 в м.Коломиї</t>
  </si>
  <si>
    <t>Нове будівництво каналізаційної мережі по вул. Білейчука в с. Воскресинці Коломийської територіальної громади</t>
  </si>
  <si>
    <t>Капітальний ремонт приміщення теплиці Коломийського ліцею № 6 ім. Героя України Тараса Сенюка по вул. М. Леонтовича, 14 в м. Коломиї Івано-Франківської області</t>
  </si>
  <si>
    <t>Нове будівництво пам'ятника Василю Стефанику в сквері біля Коломийського ліцею № 1 ім. В. Стефаника в м. Коломиї</t>
  </si>
  <si>
    <t>Капітальний ремонт дорожнього покриття вул. Старицького в м. Коломия Івано-Франківської області</t>
  </si>
  <si>
    <t>Нове будівництво спортивного майданчика Коломийського ліцею № 2 по вул. м. Лисенка, 24 в м. Коломиї</t>
  </si>
  <si>
    <t xml:space="preserve">Придбання обладнання  </t>
  </si>
  <si>
    <t>0611210</t>
  </si>
  <si>
    <t>0990</t>
  </si>
  <si>
    <t>Придбання обладнання (оснащення кабінетів інклюзивно ресурсних центрів)</t>
  </si>
  <si>
    <t xml:space="preserve">Капітальний ремонт нежитлового приміщення по вул. Українська, 68Б в с. Саджавка </t>
  </si>
  <si>
    <t>Капітальний ремонт адміністративного будинку в селі Раківчик по вул. Лесі Українки, 1</t>
  </si>
  <si>
    <t>Капітальний ремонт приміщень першого поверху під комп'ютерний томограф структурного підрозділу "Стаціонар" КНП "Коломийська центральна районна лікарня" Коломийської міської ради за адресою: м.Коломия, вул. Родини Крушельницьких, 26 Коригування</t>
  </si>
  <si>
    <t>Будівництво футбольного поля Коломийського ліцею № 5 імені Т. Г. Шевченка по пр. Михайла Грушевського, 64 в м. Коломиї</t>
  </si>
  <si>
    <t>Завершення будівництва по об'єкту "Нове будівництво спортивного залу та майстерень Коломийського ліцею №9  по вул. М. Драгоманова, 1 в м. Коломиї, Івано Франківської області(за робочим проектом "Нове будівництво спортивного залу та майстерень Коломийського НВК №9 "Школа природничо-математичний ліцей"  по вул. М. Драгоманова, 1 в м. Коломиї, Івано Франківської області. Коригування РП.")</t>
  </si>
  <si>
    <t>Придбання покрівельних матеріалів для Товмачицького ліцею Коломийської міської ради по вул. І. Франка, 1 в с. Товмачик Коломийського району Івано-Франківської області</t>
  </si>
  <si>
    <t>Капітальний ремонт покрівлі Товмачицького ліцею Коломийської міської ради по вул. І. Франка, 1 в с. Товмачик Коломийського району Івано-Франківської області</t>
  </si>
  <si>
    <t>Капітальний ремонт спортивного залу Коломийського ліцею №8 по вул. Є. Коновальця, 10 в м. Коломиї</t>
  </si>
  <si>
    <t>Капітальний ремонт нежитлового приміщення бібліотеки для юнацтва за адресою м. Коломия, вул. Івана Мазепи, 183</t>
  </si>
  <si>
    <t>Капітальний ремонт автобусної зупинки по вул. Мазепи, 263 в м. Коломиї</t>
  </si>
  <si>
    <t>0119800</t>
  </si>
  <si>
    <t>9800</t>
  </si>
  <si>
    <t>На Програму "Фінансового забезпечення взаємодії Коломийської міської ради та Головного управління Національної поліції в Івано-Франківській області на 2021-2023 роки</t>
  </si>
  <si>
    <t>Капітальний ремонт харчоблоку Коломийського ліцею № 5 імені Т. Г. Шевченка, розташованого за адресою: пр. М. Грушевського, 64 в м. Коломиї Івано-Франківської області</t>
  </si>
  <si>
    <t>Капітальний ремонт харчоблоку Коломийського ліцею № 9,  розташованого за адресою: вул. М. Драгоманова, 1 в м. Коломиї Івано-Франківської області</t>
  </si>
  <si>
    <t>Капітальний ремонт дорожнього покриття вул. Шкрумеляка в м. Коломиї. Коригування</t>
  </si>
  <si>
    <t>Капітальний ремонт дорожнього  і тротуарного покриття  вул.Винниченка в м.Коломия. Коригування</t>
  </si>
  <si>
    <t>Капітальний ремонт дощової каналізації по вул. Пекарській, 8 в м. Коломиї</t>
  </si>
  <si>
    <t>Нове будівництво каналізаційної мережі по вул. Довбуша в м. Коломиї</t>
  </si>
  <si>
    <t>Капітальний ремонт дорожнього покриття по вул. Спортивна в с. Королівка Коломийської ТГ</t>
  </si>
  <si>
    <t>Капітальний ремонт дорожнього покриття по вул. Молодіжна в с. Королівка Коломийської ТГ</t>
  </si>
  <si>
    <t>Ольга ЦИГАНЧУК</t>
  </si>
  <si>
    <t xml:space="preserve">Капітальний ремонт приміщення першого поверху під компютерний томограф структурного підрозділу "Стаціонар КНП "Коломийська центральна районна лікарня" Коломийської міської ради за адресою м.Коломия вул. Родини Крушельницький, 26 </t>
  </si>
  <si>
    <t>-капітальний ремонт насосної станції в с. Княждвір Івано-Франківської обл.</t>
  </si>
  <si>
    <t xml:space="preserve">Нове будівництво приміщень для розміщення малого групового будинку </t>
  </si>
  <si>
    <t>Капітальний ремонт приміщення по вул. Привокзальна, 2 в м. Коломиї</t>
  </si>
  <si>
    <t>Придбання покрівельних матеріалів для Товмачицького ліцею Коломийської міської ради по вул. І. Франка, 1 в с.Товмачик Коломийського району Івано-Франківської області для проведення капітального ремонту покрівлі Товмачицького ліцею Коломийської міської ради по вул. І. Франка, 1 в с. Товмачик Коломийського району Івано_x0002_Франківської області</t>
  </si>
  <si>
    <t>Капітальний ремонт дорожнього покриття вул. Тичини в м. Коломиї Івано_x0002_Франківської област</t>
  </si>
  <si>
    <t>Придбання комунальної техніки</t>
  </si>
  <si>
    <t>Будівництво футбольного поля  Коломийського ліцею №5 імені  Т. Г. Шевченка по пр. Михайла Грушевського, 64 в м. Коломиї   ( за робочим проектом «Будівництво футбольного поля ЗОШ №5 по проспекту Грушевського,64 в м.Коломиї»)</t>
  </si>
  <si>
    <t>Профінансовано станом на 30.12.2021 року</t>
  </si>
  <si>
    <t>% виконання факту до плану</t>
  </si>
  <si>
    <t xml:space="preserve">За рахунок субвенції з обласного бюджету - 41057000 " Субвенція з місцевого бюджету на забезпечення централізованою подачею кисню ліжкового фонду закладів охорони здоров'я, які надають стаціонарну медичну допомогу пацієнтам з гострою респіраторною хворобою COVID-19, спричиненою коронавірусом SARS-CoV-2, за рахунок відповідної субвенції з державного бюджету" </t>
  </si>
  <si>
    <t xml:space="preserve">За рахунок субвенції з обласного бюджету  - 41051700-   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 </t>
  </si>
  <si>
    <t>За рахунок субвенції з державного бюджету -  41050900 "Субвенція з місцевого бюджету на проектні, будівельно-ремонтні роботи, придбання житла та приміщень для розвитку сімейних та інших форм виховання, наближених до сімейних, та забезпечення житлом дітей-сиріт, дітей, позбавлених батьківського піклування, осіб з їх числа за рахунок відповідної субвенції з державного бюджету"</t>
  </si>
  <si>
    <t>За рахунок субвенції з державного бюджету  -  41035200 "Субвенція з державного бюджету  місцевим бюджетам на розвиток мережі центрів надання адміністративних послуг"</t>
  </si>
  <si>
    <t>За рахунок субвенції з державного бюджету -  41034600 "Субвенція з державного бюджету  місцевим бюджетам на здійснення заходів щодо підтримки територій, що зазнали негативного впливу внаслідок збройного конфлікту на сході України"</t>
  </si>
  <si>
    <r>
      <t xml:space="preserve">За рахунок субвенції з державного бюджету  - </t>
    </r>
    <r>
      <rPr>
        <b/>
        <sz val="14"/>
        <color indexed="10"/>
        <rFont val="Times New Roman"/>
        <family val="1"/>
        <charset val="204"/>
      </rPr>
      <t xml:space="preserve"> </t>
    </r>
    <r>
      <rPr>
        <b/>
        <sz val="18"/>
        <color indexed="10"/>
        <rFont val="Times New Roman"/>
        <family val="1"/>
        <charset val="204"/>
      </rPr>
      <t>(41034501</t>
    </r>
    <r>
      <rPr>
        <b/>
        <sz val="14"/>
        <color indexed="10"/>
        <rFont val="Times New Roman"/>
        <family val="1"/>
        <charset val="204"/>
      </rPr>
      <t xml:space="preserve">- </t>
    </r>
    <r>
      <rPr>
        <b/>
        <sz val="14"/>
        <color indexed="8"/>
        <rFont val="Times New Roman"/>
        <family val="1"/>
        <charset val="204"/>
      </rPr>
      <t>Субвенція з державного бюджету  місцевим бюджетам на здійснення заходів щодо соціально-економічного розвитку окремих територій )</t>
    </r>
  </si>
  <si>
    <t xml:space="preserve">За рахунок субвенції з державного бюджету  - 41032500 "Субвенція з державного бюджету  місцевим бюджетам на розвиток комунальної інфраструктури, у тому числі на придбання комунальної технікии" </t>
  </si>
  <si>
    <t xml:space="preserve">За рахунок субвенції з державного бюджету  - 41032300 "Субвенція з державного бюджету  місцевим бюджетам на реалізацію інфраструктурних проектів та розвиток об'єктів соціально - культурної сфери" </t>
  </si>
  <si>
    <t xml:space="preserve">Спрямування вільного залишку коштів із загального фонду до бюджету розвитку (спеціального фонду) станом на 01.01.2021 року </t>
  </si>
  <si>
    <r>
      <t>За рахунок субвенції з державного бюджету  -</t>
    </r>
    <r>
      <rPr>
        <b/>
        <sz val="12"/>
        <color indexed="10"/>
        <rFont val="Times New Roman"/>
        <family val="1"/>
        <charset val="204"/>
      </rPr>
      <t xml:space="preserve"> (41051200- </t>
    </r>
    <r>
      <rPr>
        <b/>
        <sz val="12"/>
        <color indexed="8"/>
        <rFont val="Times New Roman"/>
        <family val="1"/>
        <charset val="204"/>
      </rPr>
      <t xml:space="preserve"> 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  </r>
    <r>
      <rPr>
        <b/>
        <sz val="12"/>
        <color indexed="10"/>
        <rFont val="Times New Roman"/>
        <family val="1"/>
        <charset val="204"/>
      </rPr>
      <t xml:space="preserve">)  </t>
    </r>
  </si>
  <si>
    <t>За рахунок субвенції з державного бюджету  - 41032500 "Субвенція з державного бюджету  місцевим бюджетам на розвиток комунальної інфраструктури, у тому числі на придбання комунальної техніки"</t>
  </si>
  <si>
    <t>Разом по бюджету розвитку за 2021 рік + вільний залишок + субвенції бюджету розвитку + субвенції  С. Ф.</t>
  </si>
  <si>
    <t xml:space="preserve">Разом по бюджету розвитку за 2021 рік + вільний залишок + субвенції бюджету розвитку </t>
  </si>
  <si>
    <t>Нове будівництво спортивного залу та майстерень Коломийського ліцею №9  по вул. М. Драгоманова, 1 в м. Коломиї, Івано Франківської області(за робочим проектом "Нове будівництво спортивного залу та майстерень Коломийського НВК №9 "Школа природничо-математичний ліцей"  по вул. М. Драгоманова, 1 в м. Коломиї, Івано Франківської області. Коригування РП.")</t>
  </si>
  <si>
    <t>Заступник начальника управління - начальник бюджетного відділу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</si>
</sst>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65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color indexed="8"/>
      <name val="Calibri"/>
      <family val="2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u/>
      <sz val="14"/>
      <name val="Times New Roman"/>
      <family val="1"/>
      <charset val="204"/>
    </font>
    <font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u/>
      <sz val="14"/>
      <color indexed="8"/>
      <name val="Times New Roman"/>
      <family val="1"/>
      <charset val="204"/>
    </font>
    <font>
      <b/>
      <u/>
      <sz val="14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indexed="8"/>
      <name val="Calibri"/>
      <family val="2"/>
      <charset val="204"/>
    </font>
    <font>
      <u/>
      <sz val="14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b/>
      <u/>
      <sz val="16"/>
      <color indexed="8"/>
      <name val="Times New Roman"/>
      <family val="1"/>
      <charset val="204"/>
    </font>
    <font>
      <b/>
      <u/>
      <sz val="16"/>
      <name val="Times New Roman"/>
      <family val="1"/>
      <charset val="204"/>
    </font>
    <font>
      <sz val="14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6"/>
      <color indexed="8"/>
      <name val="Calibri"/>
      <family val="2"/>
      <charset val="204"/>
    </font>
    <font>
      <b/>
      <sz val="20"/>
      <color indexed="10"/>
      <name val="Times New Roman"/>
      <family val="1"/>
      <charset val="204"/>
    </font>
    <font>
      <b/>
      <sz val="16"/>
      <color indexed="10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b/>
      <sz val="18"/>
      <color indexed="10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b/>
      <sz val="14"/>
      <color indexed="63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indexed="8"/>
      <name val="Arial"/>
      <family val="2"/>
      <charset val="204"/>
    </font>
    <font>
      <b/>
      <i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1"/>
      <name val="Calibri"/>
      <family val="2"/>
      <charset val="204"/>
    </font>
    <font>
      <i/>
      <sz val="12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9" fillId="0" borderId="0">
      <alignment vertical="top"/>
    </xf>
    <xf numFmtId="0" fontId="1" fillId="0" borderId="0"/>
    <xf numFmtId="0" fontId="53" fillId="0" borderId="0"/>
  </cellStyleXfs>
  <cellXfs count="437">
    <xf numFmtId="0" fontId="0" fillId="0" borderId="0" xfId="0"/>
    <xf numFmtId="0" fontId="0" fillId="0" borderId="0" xfId="0" applyFill="1"/>
    <xf numFmtId="0" fontId="4" fillId="0" borderId="0" xfId="0" applyFont="1" applyFill="1"/>
    <xf numFmtId="0" fontId="4" fillId="0" borderId="0" xfId="0" applyFont="1"/>
    <xf numFmtId="0" fontId="4" fillId="2" borderId="0" xfId="0" applyFont="1" applyFill="1"/>
    <xf numFmtId="0" fontId="24" fillId="0" borderId="0" xfId="0" applyFont="1" applyFill="1"/>
    <xf numFmtId="0" fontId="24" fillId="0" borderId="0" xfId="0" applyFont="1"/>
    <xf numFmtId="0" fontId="4" fillId="3" borderId="0" xfId="0" applyFont="1" applyFill="1"/>
    <xf numFmtId="0" fontId="24" fillId="3" borderId="0" xfId="0" applyFont="1" applyFill="1"/>
    <xf numFmtId="0" fontId="0" fillId="2" borderId="0" xfId="0" applyFill="1"/>
    <xf numFmtId="0" fontId="4" fillId="4" borderId="0" xfId="0" applyFont="1" applyFill="1"/>
    <xf numFmtId="0" fontId="4" fillId="5" borderId="0" xfId="0" applyFont="1" applyFill="1"/>
    <xf numFmtId="0" fontId="6" fillId="3" borderId="0" xfId="0" applyFont="1" applyFill="1"/>
    <xf numFmtId="0" fontId="24" fillId="2" borderId="0" xfId="0" applyFont="1" applyFill="1"/>
    <xf numFmtId="0" fontId="24" fillId="4" borderId="0" xfId="0" applyFont="1" applyFill="1"/>
    <xf numFmtId="0" fontId="24" fillId="5" borderId="0" xfId="0" applyFont="1" applyFill="1"/>
    <xf numFmtId="0" fontId="29" fillId="6" borderId="0" xfId="0" applyFont="1" applyFill="1"/>
    <xf numFmtId="0" fontId="0" fillId="4" borderId="0" xfId="0" applyFill="1"/>
    <xf numFmtId="0" fontId="17" fillId="0" borderId="0" xfId="0" applyFont="1" applyFill="1"/>
    <xf numFmtId="0" fontId="34" fillId="0" borderId="0" xfId="0" applyFont="1" applyFill="1"/>
    <xf numFmtId="0" fontId="24" fillId="6" borderId="0" xfId="0" applyFont="1" applyFill="1"/>
    <xf numFmtId="0" fontId="4" fillId="6" borderId="0" xfId="0" applyFont="1" applyFill="1"/>
    <xf numFmtId="0" fontId="17" fillId="5" borderId="0" xfId="0" applyFont="1" applyFill="1"/>
    <xf numFmtId="0" fontId="17" fillId="2" borderId="0" xfId="0" applyFont="1" applyFill="1"/>
    <xf numFmtId="0" fontId="36" fillId="4" borderId="0" xfId="0" applyFont="1" applyFill="1"/>
    <xf numFmtId="0" fontId="35" fillId="0" borderId="0" xfId="0" applyFont="1" applyFill="1"/>
    <xf numFmtId="1" fontId="54" fillId="0" borderId="0" xfId="0" applyNumberFormat="1" applyFont="1"/>
    <xf numFmtId="49" fontId="9" fillId="7" borderId="1" xfId="0" applyNumberFormat="1" applyFont="1" applyFill="1" applyBorder="1" applyAlignment="1">
      <alignment horizontal="center" vertical="center" wrapText="1"/>
    </xf>
    <xf numFmtId="1" fontId="2" fillId="7" borderId="1" xfId="0" applyNumberFormat="1" applyFont="1" applyFill="1" applyBorder="1" applyAlignment="1">
      <alignment horizontal="center" vertical="center"/>
    </xf>
    <xf numFmtId="4" fontId="28" fillId="7" borderId="2" xfId="0" applyNumberFormat="1" applyFont="1" applyFill="1" applyBorder="1" applyAlignment="1">
      <alignment horizontal="center" vertical="center" wrapText="1"/>
    </xf>
    <xf numFmtId="4" fontId="12" fillId="7" borderId="1" xfId="0" applyNumberFormat="1" applyFont="1" applyFill="1" applyBorder="1" applyAlignment="1">
      <alignment horizontal="left" vertical="center" wrapText="1"/>
    </xf>
    <xf numFmtId="4" fontId="12" fillId="7" borderId="1" xfId="1" applyNumberFormat="1" applyFont="1" applyFill="1" applyBorder="1" applyAlignment="1">
      <alignment horizontal="center" vertical="center" wrapText="1"/>
    </xf>
    <xf numFmtId="4" fontId="2" fillId="7" borderId="1" xfId="1" applyNumberFormat="1" applyFont="1" applyFill="1" applyBorder="1" applyAlignment="1">
      <alignment horizontal="center" vertical="center" wrapText="1"/>
    </xf>
    <xf numFmtId="4" fontId="2" fillId="7" borderId="1" xfId="0" applyNumberFormat="1" applyFont="1" applyFill="1" applyBorder="1" applyAlignment="1">
      <alignment horizontal="center" vertical="center" wrapText="1"/>
    </xf>
    <xf numFmtId="4" fontId="12" fillId="7" borderId="1" xfId="0" applyNumberFormat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left" vertical="center" wrapText="1"/>
    </xf>
    <xf numFmtId="4" fontId="13" fillId="7" borderId="1" xfId="0" applyNumberFormat="1" applyFont="1" applyFill="1" applyBorder="1" applyAlignment="1">
      <alignment wrapText="1"/>
    </xf>
    <xf numFmtId="1" fontId="49" fillId="7" borderId="1" xfId="0" applyNumberFormat="1" applyFont="1" applyFill="1" applyBorder="1" applyAlignment="1">
      <alignment horizontal="center" vertical="center" wrapText="1"/>
    </xf>
    <xf numFmtId="4" fontId="49" fillId="7" borderId="1" xfId="0" applyNumberFormat="1" applyFont="1" applyFill="1" applyBorder="1" applyAlignment="1">
      <alignment horizontal="left" vertical="center" wrapText="1"/>
    </xf>
    <xf numFmtId="4" fontId="49" fillId="7" borderId="1" xfId="0" applyNumberFormat="1" applyFont="1" applyFill="1" applyBorder="1" applyAlignment="1">
      <alignment horizontal="center" vertical="center" wrapText="1"/>
    </xf>
    <xf numFmtId="4" fontId="10" fillId="7" borderId="1" xfId="0" applyNumberFormat="1" applyFont="1" applyFill="1" applyBorder="1" applyAlignment="1">
      <alignment horizontal="center" vertical="center" wrapText="1"/>
    </xf>
    <xf numFmtId="4" fontId="9" fillId="7" borderId="1" xfId="0" applyNumberFormat="1" applyFont="1" applyFill="1" applyBorder="1" applyAlignment="1">
      <alignment horizontal="center" vertical="center" wrapText="1"/>
    </xf>
    <xf numFmtId="4" fontId="27" fillId="7" borderId="1" xfId="0" applyNumberFormat="1" applyFont="1" applyFill="1" applyBorder="1" applyAlignment="1">
      <alignment horizontal="center" vertical="center" wrapText="1"/>
    </xf>
    <xf numFmtId="4" fontId="28" fillId="7" borderId="1" xfId="0" applyNumberFormat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vertical="center" wrapText="1"/>
    </xf>
    <xf numFmtId="0" fontId="12" fillId="7" borderId="1" xfId="0" applyFont="1" applyFill="1" applyBorder="1" applyAlignment="1">
      <alignment wrapText="1"/>
    </xf>
    <xf numFmtId="164" fontId="12" fillId="7" borderId="1" xfId="0" applyNumberFormat="1" applyFont="1" applyFill="1" applyBorder="1" applyAlignment="1">
      <alignment horizontal="left" vertical="center" wrapText="1"/>
    </xf>
    <xf numFmtId="0" fontId="12" fillId="7" borderId="0" xfId="0" applyFont="1" applyFill="1" applyAlignment="1">
      <alignment vertical="center" wrapText="1"/>
    </xf>
    <xf numFmtId="0" fontId="37" fillId="7" borderId="1" xfId="0" applyFont="1" applyFill="1" applyBorder="1" applyAlignment="1">
      <alignment vertical="center" wrapText="1"/>
    </xf>
    <xf numFmtId="0" fontId="11" fillId="7" borderId="1" xfId="0" applyFont="1" applyFill="1" applyBorder="1" applyAlignment="1">
      <alignment vertical="center" wrapText="1"/>
    </xf>
    <xf numFmtId="0" fontId="42" fillId="7" borderId="1" xfId="0" applyFont="1" applyFill="1" applyBorder="1" applyAlignment="1">
      <alignment horizontal="left" vertical="center" wrapText="1"/>
    </xf>
    <xf numFmtId="0" fontId="42" fillId="7" borderId="1" xfId="0" applyFont="1" applyFill="1" applyBorder="1" applyAlignment="1">
      <alignment vertical="center" wrapText="1"/>
    </xf>
    <xf numFmtId="0" fontId="11" fillId="7" borderId="1" xfId="0" applyFont="1" applyFill="1" applyBorder="1" applyAlignment="1">
      <alignment horizontal="left" vertical="center" wrapText="1"/>
    </xf>
    <xf numFmtId="0" fontId="12" fillId="7" borderId="2" xfId="0" applyFont="1" applyFill="1" applyBorder="1" applyAlignment="1">
      <alignment wrapText="1"/>
    </xf>
    <xf numFmtId="0" fontId="11" fillId="7" borderId="2" xfId="0" applyFont="1" applyFill="1" applyBorder="1" applyAlignment="1">
      <alignment horizontal="left" vertical="top" wrapText="1"/>
    </xf>
    <xf numFmtId="0" fontId="11" fillId="7" borderId="1" xfId="0" applyFont="1" applyFill="1" applyBorder="1" applyAlignment="1">
      <alignment horizontal="left" vertical="top" wrapText="1"/>
    </xf>
    <xf numFmtId="165" fontId="11" fillId="7" borderId="1" xfId="1" applyNumberFormat="1" applyFont="1" applyFill="1" applyBorder="1" applyAlignment="1">
      <alignment horizontal="left" vertical="top" wrapText="1"/>
    </xf>
    <xf numFmtId="49" fontId="18" fillId="7" borderId="1" xfId="0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left" vertical="center" wrapText="1"/>
    </xf>
    <xf numFmtId="165" fontId="27" fillId="7" borderId="1" xfId="0" applyNumberFormat="1" applyFont="1" applyFill="1" applyBorder="1" applyAlignment="1">
      <alignment horizontal="center" vertical="center" wrapText="1"/>
    </xf>
    <xf numFmtId="4" fontId="9" fillId="7" borderId="2" xfId="0" applyNumberFormat="1" applyFont="1" applyFill="1" applyBorder="1" applyAlignment="1">
      <alignment horizontal="center" vertical="center" wrapText="1"/>
    </xf>
    <xf numFmtId="4" fontId="2" fillId="7" borderId="2" xfId="1" applyNumberFormat="1" applyFont="1" applyFill="1" applyBorder="1" applyAlignment="1">
      <alignment horizontal="center" vertical="center"/>
    </xf>
    <xf numFmtId="4" fontId="12" fillId="7" borderId="1" xfId="1" applyNumberFormat="1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justify" vertical="center" wrapText="1"/>
    </xf>
    <xf numFmtId="0" fontId="12" fillId="7" borderId="0" xfId="0" applyFont="1" applyFill="1" applyAlignment="1">
      <alignment wrapText="1"/>
    </xf>
    <xf numFmtId="0" fontId="11" fillId="7" borderId="2" xfId="0" applyFont="1" applyFill="1" applyBorder="1" applyAlignment="1">
      <alignment horizontal="left" vertical="center" wrapText="1"/>
    </xf>
    <xf numFmtId="165" fontId="37" fillId="7" borderId="1" xfId="1" applyNumberFormat="1" applyFont="1" applyFill="1" applyBorder="1" applyAlignment="1">
      <alignment horizontal="left" vertical="center" wrapText="1"/>
    </xf>
    <xf numFmtId="2" fontId="0" fillId="7" borderId="0" xfId="0" applyNumberFormat="1" applyFill="1" applyBorder="1" applyAlignment="1">
      <alignment horizontal="center" vertical="center" wrapText="1"/>
    </xf>
    <xf numFmtId="2" fontId="35" fillId="7" borderId="0" xfId="0" applyNumberFormat="1" applyFont="1" applyFill="1" applyBorder="1" applyAlignment="1">
      <alignment horizontal="center" vertical="center" wrapText="1"/>
    </xf>
    <xf numFmtId="4" fontId="16" fillId="7" borderId="0" xfId="0" applyNumberFormat="1" applyFont="1" applyFill="1" applyBorder="1" applyAlignment="1">
      <alignment horizontal="left" vertical="center" wrapText="1"/>
    </xf>
    <xf numFmtId="4" fontId="16" fillId="7" borderId="0" xfId="0" applyNumberFormat="1" applyFont="1" applyFill="1" applyBorder="1" applyAlignment="1">
      <alignment horizontal="center" vertical="center" wrapText="1"/>
    </xf>
    <xf numFmtId="0" fontId="0" fillId="7" borderId="0" xfId="0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wrapText="1"/>
    </xf>
    <xf numFmtId="0" fontId="54" fillId="7" borderId="0" xfId="0" applyFont="1" applyFill="1" applyBorder="1" applyAlignment="1">
      <alignment horizontal="center" vertical="center" wrapText="1"/>
    </xf>
    <xf numFmtId="0" fontId="21" fillId="7" borderId="0" xfId="0" applyFont="1" applyFill="1" applyBorder="1" applyAlignment="1"/>
    <xf numFmtId="0" fontId="10" fillId="7" borderId="0" xfId="0" applyFont="1" applyFill="1" applyBorder="1" applyAlignment="1">
      <alignment horizontal="center" vertical="center" wrapText="1"/>
    </xf>
    <xf numFmtId="0" fontId="10" fillId="7" borderId="0" xfId="0" applyFont="1" applyFill="1" applyBorder="1"/>
    <xf numFmtId="0" fontId="2" fillId="7" borderId="0" xfId="0" applyFont="1" applyFill="1" applyBorder="1" applyAlignment="1">
      <alignment vertical="center" wrapText="1"/>
    </xf>
    <xf numFmtId="0" fontId="2" fillId="7" borderId="0" xfId="0" applyFont="1" applyFill="1" applyBorder="1" applyAlignment="1">
      <alignment horizontal="center" vertical="center" wrapText="1"/>
    </xf>
    <xf numFmtId="14" fontId="5" fillId="7" borderId="0" xfId="0" applyNumberFormat="1" applyFont="1" applyFill="1" applyBorder="1" applyAlignment="1">
      <alignment horizontal="center" vertical="center" wrapText="1"/>
    </xf>
    <xf numFmtId="0" fontId="24" fillId="7" borderId="0" xfId="0" applyFont="1" applyFill="1" applyBorder="1" applyAlignment="1">
      <alignment horizontal="right"/>
    </xf>
    <xf numFmtId="4" fontId="18" fillId="7" borderId="1" xfId="0" applyNumberFormat="1" applyFont="1" applyFill="1" applyBorder="1" applyAlignment="1">
      <alignment horizontal="center" vertical="center" wrapText="1"/>
    </xf>
    <xf numFmtId="4" fontId="13" fillId="7" borderId="3" xfId="0" applyNumberFormat="1" applyFont="1" applyFill="1" applyBorder="1" applyAlignment="1">
      <alignment horizontal="left" vertical="center" wrapText="1"/>
    </xf>
    <xf numFmtId="4" fontId="32" fillId="7" borderId="1" xfId="1" applyNumberFormat="1" applyFont="1" applyFill="1" applyBorder="1" applyAlignment="1">
      <alignment horizontal="center" vertical="center"/>
    </xf>
    <xf numFmtId="4" fontId="27" fillId="7" borderId="1" xfId="1" applyNumberFormat="1" applyFont="1" applyFill="1" applyBorder="1" applyAlignment="1">
      <alignment horizontal="center" vertical="center"/>
    </xf>
    <xf numFmtId="4" fontId="9" fillId="7" borderId="4" xfId="0" applyNumberFormat="1" applyFont="1" applyFill="1" applyBorder="1" applyAlignment="1">
      <alignment horizontal="center" vertical="center" wrapText="1"/>
    </xf>
    <xf numFmtId="4" fontId="13" fillId="7" borderId="0" xfId="0" applyNumberFormat="1" applyFont="1" applyFill="1" applyAlignment="1">
      <alignment wrapText="1"/>
    </xf>
    <xf numFmtId="4" fontId="10" fillId="7" borderId="4" xfId="1" applyNumberFormat="1" applyFont="1" applyFill="1" applyBorder="1" applyAlignment="1">
      <alignment horizontal="center" vertical="center"/>
    </xf>
    <xf numFmtId="4" fontId="13" fillId="7" borderId="3" xfId="0" applyNumberFormat="1" applyFont="1" applyFill="1" applyBorder="1" applyAlignment="1">
      <alignment wrapText="1"/>
    </xf>
    <xf numFmtId="4" fontId="2" fillId="7" borderId="1" xfId="1" applyNumberFormat="1" applyFont="1" applyFill="1" applyBorder="1" applyAlignment="1">
      <alignment horizontal="center" vertical="center"/>
    </xf>
    <xf numFmtId="49" fontId="30" fillId="7" borderId="1" xfId="0" applyNumberFormat="1" applyFont="1" applyFill="1" applyBorder="1" applyAlignment="1">
      <alignment horizontal="center" vertical="center" wrapText="1"/>
    </xf>
    <xf numFmtId="4" fontId="30" fillId="7" borderId="1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vertical="center" wrapText="1"/>
    </xf>
    <xf numFmtId="0" fontId="37" fillId="7" borderId="1" xfId="0" applyFont="1" applyFill="1" applyBorder="1" applyAlignment="1">
      <alignment vertical="center"/>
    </xf>
    <xf numFmtId="4" fontId="37" fillId="7" borderId="1" xfId="1" applyNumberFormat="1" applyFont="1" applyFill="1" applyBorder="1" applyAlignment="1">
      <alignment horizontal="center" vertical="center" wrapText="1"/>
    </xf>
    <xf numFmtId="0" fontId="37" fillId="7" borderId="3" xfId="0" applyFont="1" applyFill="1" applyBorder="1" applyAlignment="1">
      <alignment vertical="center" wrapText="1" shrinkToFit="1"/>
    </xf>
    <xf numFmtId="2" fontId="11" fillId="7" borderId="3" xfId="0" applyNumberFormat="1" applyFont="1" applyFill="1" applyBorder="1" applyAlignment="1">
      <alignment horizontal="left" vertical="center" wrapText="1"/>
    </xf>
    <xf numFmtId="2" fontId="11" fillId="7" borderId="1" xfId="0" applyNumberFormat="1" applyFont="1" applyFill="1" applyBorder="1" applyAlignment="1">
      <alignment horizontal="left" vertical="center" wrapText="1"/>
    </xf>
    <xf numFmtId="4" fontId="2" fillId="7" borderId="1" xfId="0" applyNumberFormat="1" applyFont="1" applyFill="1" applyBorder="1" applyAlignment="1">
      <alignment horizontal="left" vertical="center" wrapText="1"/>
    </xf>
    <xf numFmtId="4" fontId="2" fillId="7" borderId="1" xfId="0" applyNumberFormat="1" applyFont="1" applyFill="1" applyBorder="1" applyAlignment="1">
      <alignment horizontal="center" vertical="center"/>
    </xf>
    <xf numFmtId="3" fontId="12" fillId="7" borderId="1" xfId="0" applyNumberFormat="1" applyFont="1" applyFill="1" applyBorder="1" applyAlignment="1">
      <alignment horizontal="center" vertical="center" wrapText="1"/>
    </xf>
    <xf numFmtId="49" fontId="15" fillId="7" borderId="1" xfId="0" applyNumberFormat="1" applyFont="1" applyFill="1" applyBorder="1" applyAlignment="1">
      <alignment horizontal="center" vertical="center" wrapText="1"/>
    </xf>
    <xf numFmtId="4" fontId="15" fillId="7" borderId="1" xfId="0" applyNumberFormat="1" applyFont="1" applyFill="1" applyBorder="1" applyAlignment="1">
      <alignment horizontal="center" vertical="center" wrapText="1"/>
    </xf>
    <xf numFmtId="49" fontId="14" fillId="7" borderId="1" xfId="0" applyNumberFormat="1" applyFont="1" applyFill="1" applyBorder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0" fontId="37" fillId="7" borderId="1" xfId="0" applyFont="1" applyFill="1" applyBorder="1" applyAlignment="1">
      <alignment horizontal="left" vertical="center" wrapText="1"/>
    </xf>
    <xf numFmtId="4" fontId="10" fillId="7" borderId="1" xfId="0" applyNumberFormat="1" applyFont="1" applyFill="1" applyBorder="1" applyAlignment="1">
      <alignment horizontal="left" vertical="center" wrapText="1"/>
    </xf>
    <xf numFmtId="3" fontId="12" fillId="7" borderId="1" xfId="1" applyNumberFormat="1" applyFont="1" applyFill="1" applyBorder="1" applyAlignment="1">
      <alignment horizontal="center" vertical="center" wrapText="1"/>
    </xf>
    <xf numFmtId="0" fontId="20" fillId="7" borderId="1" xfId="0" applyFont="1" applyFill="1" applyBorder="1" applyAlignment="1">
      <alignment horizontal="center" vertical="center" wrapText="1"/>
    </xf>
    <xf numFmtId="4" fontId="21" fillId="7" borderId="2" xfId="0" applyNumberFormat="1" applyFont="1" applyFill="1" applyBorder="1" applyAlignment="1">
      <alignment horizontal="center" vertical="center" wrapText="1"/>
    </xf>
    <xf numFmtId="49" fontId="9" fillId="7" borderId="2" xfId="0" applyNumberFormat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justify" vertical="center" wrapText="1"/>
    </xf>
    <xf numFmtId="49" fontId="10" fillId="7" borderId="2" xfId="0" applyNumberFormat="1" applyFont="1" applyFill="1" applyBorder="1" applyAlignment="1">
      <alignment horizontal="center" vertical="center" wrapText="1"/>
    </xf>
    <xf numFmtId="4" fontId="10" fillId="7" borderId="2" xfId="0" applyNumberFormat="1" applyFont="1" applyFill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justify" vertical="center" wrapText="1"/>
    </xf>
    <xf numFmtId="4" fontId="28" fillId="7" borderId="1" xfId="0" applyNumberFormat="1" applyFont="1" applyFill="1" applyBorder="1" applyAlignment="1">
      <alignment horizontal="left" vertical="center" wrapText="1"/>
    </xf>
    <xf numFmtId="4" fontId="10" fillId="7" borderId="1" xfId="1" applyNumberFormat="1" applyFont="1" applyFill="1" applyBorder="1" applyAlignment="1">
      <alignment horizontal="center" vertical="center" wrapText="1"/>
    </xf>
    <xf numFmtId="0" fontId="16" fillId="7" borderId="2" xfId="0" applyFont="1" applyFill="1" applyBorder="1" applyAlignment="1">
      <alignment horizontal="center" vertical="center" wrapText="1"/>
    </xf>
    <xf numFmtId="4" fontId="13" fillId="7" borderId="2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20" fillId="7" borderId="2" xfId="0" applyFont="1" applyFill="1" applyBorder="1" applyAlignment="1">
      <alignment horizontal="center" vertical="center" wrapText="1"/>
    </xf>
    <xf numFmtId="4" fontId="11" fillId="7" borderId="2" xfId="0" applyNumberFormat="1" applyFont="1" applyFill="1" applyBorder="1" applyAlignment="1">
      <alignment horizontal="center" vertical="center" wrapText="1"/>
    </xf>
    <xf numFmtId="164" fontId="10" fillId="7" borderId="1" xfId="0" applyNumberFormat="1" applyFont="1" applyFill="1" applyBorder="1" applyAlignment="1">
      <alignment horizontal="left" vertical="center" wrapText="1"/>
    </xf>
    <xf numFmtId="4" fontId="12" fillId="7" borderId="1" xfId="0" applyNumberFormat="1" applyFont="1" applyFill="1" applyBorder="1" applyAlignment="1">
      <alignment horizontal="center" vertical="center"/>
    </xf>
    <xf numFmtId="4" fontId="11" fillId="7" borderId="1" xfId="0" applyNumberFormat="1" applyFont="1" applyFill="1" applyBorder="1" applyAlignment="1">
      <alignment horizontal="left" vertical="center" wrapText="1"/>
    </xf>
    <xf numFmtId="4" fontId="11" fillId="7" borderId="1" xfId="0" applyNumberFormat="1" applyFont="1" applyFill="1" applyBorder="1" applyAlignment="1">
      <alignment horizontal="center" vertical="center" wrapText="1"/>
    </xf>
    <xf numFmtId="1" fontId="10" fillId="7" borderId="1" xfId="0" applyNumberFormat="1" applyFont="1" applyFill="1" applyBorder="1" applyAlignment="1">
      <alignment horizontal="center" vertical="center"/>
    </xf>
    <xf numFmtId="4" fontId="0" fillId="7" borderId="1" xfId="0" applyNumberFormat="1" applyFill="1" applyBorder="1"/>
    <xf numFmtId="4" fontId="10" fillId="7" borderId="1" xfId="0" applyNumberFormat="1" applyFont="1" applyFill="1" applyBorder="1" applyAlignment="1">
      <alignment horizontal="center" vertical="center"/>
    </xf>
    <xf numFmtId="164" fontId="2" fillId="7" borderId="1" xfId="0" applyNumberFormat="1" applyFont="1" applyFill="1" applyBorder="1" applyAlignment="1">
      <alignment horizontal="left" vertical="center" wrapText="1"/>
    </xf>
    <xf numFmtId="4" fontId="2" fillId="7" borderId="4" xfId="1" applyNumberFormat="1" applyFont="1" applyFill="1" applyBorder="1" applyAlignment="1">
      <alignment horizontal="center" vertical="center" wrapText="1"/>
    </xf>
    <xf numFmtId="4" fontId="12" fillId="7" borderId="4" xfId="1" applyNumberFormat="1" applyFont="1" applyFill="1" applyBorder="1" applyAlignment="1">
      <alignment horizontal="center" vertical="center" wrapText="1"/>
    </xf>
    <xf numFmtId="4" fontId="10" fillId="7" borderId="2" xfId="0" applyNumberFormat="1" applyFont="1" applyFill="1" applyBorder="1" applyAlignment="1">
      <alignment horizontal="center" vertical="center"/>
    </xf>
    <xf numFmtId="3" fontId="37" fillId="7" borderId="1" xfId="0" applyNumberFormat="1" applyFont="1" applyFill="1" applyBorder="1" applyAlignment="1">
      <alignment horizontal="center" vertical="center" wrapText="1"/>
    </xf>
    <xf numFmtId="0" fontId="37" fillId="7" borderId="1" xfId="0" applyFont="1" applyFill="1" applyBorder="1" applyAlignment="1">
      <alignment wrapText="1"/>
    </xf>
    <xf numFmtId="49" fontId="15" fillId="7" borderId="2" xfId="0" applyNumberFormat="1" applyFont="1" applyFill="1" applyBorder="1" applyAlignment="1">
      <alignment horizontal="center" vertical="center" wrapText="1"/>
    </xf>
    <xf numFmtId="4" fontId="15" fillId="7" borderId="2" xfId="0" applyNumberFormat="1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vertical="center" wrapText="1"/>
    </xf>
    <xf numFmtId="4" fontId="9" fillId="7" borderId="1" xfId="1" applyNumberFormat="1" applyFont="1" applyFill="1" applyBorder="1" applyAlignment="1">
      <alignment horizontal="center" vertical="center" wrapText="1"/>
    </xf>
    <xf numFmtId="4" fontId="13" fillId="7" borderId="1" xfId="1" applyNumberFormat="1" applyFont="1" applyFill="1" applyBorder="1" applyAlignment="1">
      <alignment horizontal="center" vertical="center" wrapText="1"/>
    </xf>
    <xf numFmtId="4" fontId="27" fillId="7" borderId="2" xfId="0" applyNumberFormat="1" applyFont="1" applyFill="1" applyBorder="1" applyAlignment="1">
      <alignment horizontal="center" vertical="center" wrapText="1"/>
    </xf>
    <xf numFmtId="1" fontId="9" fillId="7" borderId="1" xfId="0" applyNumberFormat="1" applyFont="1" applyFill="1" applyBorder="1" applyAlignment="1">
      <alignment horizontal="center" vertical="center" wrapText="1"/>
    </xf>
    <xf numFmtId="1" fontId="28" fillId="7" borderId="1" xfId="0" applyNumberFormat="1" applyFont="1" applyFill="1" applyBorder="1" applyAlignment="1">
      <alignment horizontal="center" vertical="center" wrapText="1"/>
    </xf>
    <xf numFmtId="0" fontId="0" fillId="7" borderId="1" xfId="0" applyFill="1" applyBorder="1"/>
    <xf numFmtId="1" fontId="0" fillId="7" borderId="1" xfId="0" applyNumberFormat="1" applyFill="1" applyBorder="1"/>
    <xf numFmtId="164" fontId="37" fillId="7" borderId="1" xfId="0" applyNumberFormat="1" applyFont="1" applyFill="1" applyBorder="1" applyAlignment="1">
      <alignment horizontal="left" vertical="center" wrapText="1"/>
    </xf>
    <xf numFmtId="1" fontId="0" fillId="7" borderId="0" xfId="0" applyNumberFormat="1" applyFill="1" applyAlignment="1">
      <alignment horizontal="center" vertical="center" wrapText="1"/>
    </xf>
    <xf numFmtId="1" fontId="28" fillId="7" borderId="2" xfId="0" applyNumberFormat="1" applyFont="1" applyFill="1" applyBorder="1" applyAlignment="1">
      <alignment horizontal="center" vertical="center" wrapText="1"/>
    </xf>
    <xf numFmtId="4" fontId="4" fillId="7" borderId="1" xfId="0" applyNumberFormat="1" applyFont="1" applyFill="1" applyBorder="1"/>
    <xf numFmtId="1" fontId="12" fillId="7" borderId="1" xfId="0" applyNumberFormat="1" applyFont="1" applyFill="1" applyBorder="1" applyAlignment="1">
      <alignment horizontal="center" vertical="center"/>
    </xf>
    <xf numFmtId="1" fontId="24" fillId="7" borderId="1" xfId="0" applyNumberFormat="1" applyFont="1" applyFill="1" applyBorder="1"/>
    <xf numFmtId="0" fontId="2" fillId="7" borderId="1" xfId="0" applyFont="1" applyFill="1" applyBorder="1" applyAlignment="1">
      <alignment horizontal="left" vertical="center" wrapText="1"/>
    </xf>
    <xf numFmtId="4" fontId="56" fillId="7" borderId="1" xfId="1" applyNumberFormat="1" applyFont="1" applyFill="1" applyBorder="1" applyAlignment="1">
      <alignment horizontal="center" vertical="center" wrapText="1"/>
    </xf>
    <xf numFmtId="1" fontId="20" fillId="7" borderId="1" xfId="0" applyNumberFormat="1" applyFont="1" applyFill="1" applyBorder="1" applyAlignment="1">
      <alignment horizontal="center" vertical="center" wrapText="1"/>
    </xf>
    <xf numFmtId="4" fontId="42" fillId="7" borderId="1" xfId="1" applyNumberFormat="1" applyFont="1" applyFill="1" applyBorder="1" applyAlignment="1">
      <alignment horizontal="center" vertical="center" wrapText="1"/>
    </xf>
    <xf numFmtId="4" fontId="12" fillId="7" borderId="2" xfId="0" applyNumberFormat="1" applyFont="1" applyFill="1" applyBorder="1" applyAlignment="1">
      <alignment horizontal="center" vertical="center" wrapText="1"/>
    </xf>
    <xf numFmtId="4" fontId="2" fillId="7" borderId="2" xfId="0" applyNumberFormat="1" applyFont="1" applyFill="1" applyBorder="1" applyAlignment="1">
      <alignment horizontal="center" vertical="center" wrapText="1"/>
    </xf>
    <xf numFmtId="1" fontId="20" fillId="7" borderId="4" xfId="0" applyNumberFormat="1" applyFont="1" applyFill="1" applyBorder="1" applyAlignment="1">
      <alignment horizontal="center" vertical="center" wrapText="1"/>
    </xf>
    <xf numFmtId="1" fontId="21" fillId="7" borderId="1" xfId="0" applyNumberFormat="1" applyFont="1" applyFill="1" applyBorder="1" applyAlignment="1">
      <alignment horizontal="center" vertical="center" wrapText="1"/>
    </xf>
    <xf numFmtId="1" fontId="21" fillId="7" borderId="4" xfId="0" applyNumberFormat="1" applyFont="1" applyFill="1" applyBorder="1" applyAlignment="1">
      <alignment horizontal="center" vertical="center" wrapText="1"/>
    </xf>
    <xf numFmtId="0" fontId="4" fillId="7" borderId="1" xfId="0" applyFont="1" applyFill="1" applyBorder="1"/>
    <xf numFmtId="4" fontId="24" fillId="7" borderId="1" xfId="0" applyNumberFormat="1" applyFont="1" applyFill="1" applyBorder="1"/>
    <xf numFmtId="1" fontId="18" fillId="7" borderId="4" xfId="0" applyNumberFormat="1" applyFont="1" applyFill="1" applyBorder="1" applyAlignment="1">
      <alignment horizontal="center" vertical="center" wrapText="1"/>
    </xf>
    <xf numFmtId="1" fontId="4" fillId="7" borderId="1" xfId="0" applyNumberFormat="1" applyFont="1" applyFill="1" applyBorder="1"/>
    <xf numFmtId="1" fontId="13" fillId="7" borderId="4" xfId="0" applyNumberFormat="1" applyFont="1" applyFill="1" applyBorder="1" applyAlignment="1">
      <alignment horizontal="center" vertical="center" wrapText="1"/>
    </xf>
    <xf numFmtId="4" fontId="9" fillId="7" borderId="1" xfId="0" applyNumberFormat="1" applyFont="1" applyFill="1" applyBorder="1" applyAlignment="1">
      <alignment horizontal="left" vertical="center" wrapText="1"/>
    </xf>
    <xf numFmtId="4" fontId="26" fillId="7" borderId="1" xfId="0" applyNumberFormat="1" applyFont="1" applyFill="1" applyBorder="1" applyAlignment="1">
      <alignment horizontal="center" vertical="center" wrapText="1"/>
    </xf>
    <xf numFmtId="4" fontId="16" fillId="7" borderId="1" xfId="0" applyNumberFormat="1" applyFont="1" applyFill="1" applyBorder="1" applyAlignment="1">
      <alignment horizontal="center" vertical="center" wrapText="1"/>
    </xf>
    <xf numFmtId="1" fontId="13" fillId="7" borderId="1" xfId="0" applyNumberFormat="1" applyFont="1" applyFill="1" applyBorder="1" applyAlignment="1">
      <alignment horizontal="center" vertical="center"/>
    </xf>
    <xf numFmtId="1" fontId="20" fillId="7" borderId="1" xfId="0" applyNumberFormat="1" applyFont="1" applyFill="1" applyBorder="1" applyAlignment="1">
      <alignment horizontal="center" vertical="center"/>
    </xf>
    <xf numFmtId="1" fontId="13" fillId="7" borderId="1" xfId="0" applyNumberFormat="1" applyFont="1" applyFill="1" applyBorder="1" applyAlignment="1">
      <alignment horizontal="center" vertical="center" wrapText="1"/>
    </xf>
    <xf numFmtId="1" fontId="11" fillId="7" borderId="1" xfId="0" applyNumberFormat="1" applyFont="1" applyFill="1" applyBorder="1" applyAlignment="1">
      <alignment horizontal="center" vertical="center" wrapText="1"/>
    </xf>
    <xf numFmtId="4" fontId="11" fillId="7" borderId="1" xfId="0" applyNumberFormat="1" applyFont="1" applyFill="1" applyBorder="1" applyAlignment="1">
      <alignment vertical="center" wrapText="1"/>
    </xf>
    <xf numFmtId="4" fontId="12" fillId="7" borderId="2" xfId="1" applyNumberFormat="1" applyFont="1" applyFill="1" applyBorder="1" applyAlignment="1">
      <alignment horizontal="center" vertical="center" wrapText="1"/>
    </xf>
    <xf numFmtId="4" fontId="10" fillId="7" borderId="2" xfId="1" applyNumberFormat="1" applyFont="1" applyFill="1" applyBorder="1" applyAlignment="1">
      <alignment horizontal="center" vertical="center" wrapText="1"/>
    </xf>
    <xf numFmtId="4" fontId="2" fillId="7" borderId="2" xfId="1" applyNumberFormat="1" applyFont="1" applyFill="1" applyBorder="1" applyAlignment="1">
      <alignment horizontal="center" vertical="center" wrapText="1"/>
    </xf>
    <xf numFmtId="4" fontId="2" fillId="7" borderId="5" xfId="1" applyNumberFormat="1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left" wrapText="1"/>
    </xf>
    <xf numFmtId="0" fontId="11" fillId="7" borderId="1" xfId="0" applyFont="1" applyFill="1" applyBorder="1" applyAlignment="1">
      <alignment wrapText="1"/>
    </xf>
    <xf numFmtId="3" fontId="12" fillId="7" borderId="5" xfId="1" applyNumberFormat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wrapText="1"/>
    </xf>
    <xf numFmtId="3" fontId="2" fillId="7" borderId="5" xfId="1" applyNumberFormat="1" applyFont="1" applyFill="1" applyBorder="1" applyAlignment="1">
      <alignment horizontal="center" vertical="center" wrapText="1"/>
    </xf>
    <xf numFmtId="4" fontId="11" fillId="7" borderId="5" xfId="0" applyNumberFormat="1" applyFont="1" applyFill="1" applyBorder="1" applyAlignment="1">
      <alignment horizontal="center" vertical="center" wrapText="1"/>
    </xf>
    <xf numFmtId="49" fontId="13" fillId="7" borderId="1" xfId="0" applyNumberFormat="1" applyFont="1" applyFill="1" applyBorder="1" applyAlignment="1">
      <alignment horizontal="center" vertical="center" wrapText="1"/>
    </xf>
    <xf numFmtId="3" fontId="37" fillId="7" borderId="1" xfId="1" applyNumberFormat="1" applyFont="1" applyFill="1" applyBorder="1" applyAlignment="1">
      <alignment horizontal="center" vertical="center" wrapText="1"/>
    </xf>
    <xf numFmtId="0" fontId="42" fillId="7" borderId="0" xfId="0" applyFont="1" applyFill="1" applyAlignment="1">
      <alignment vertical="center" wrapText="1"/>
    </xf>
    <xf numFmtId="4" fontId="37" fillId="7" borderId="2" xfId="1" applyNumberFormat="1" applyFont="1" applyFill="1" applyBorder="1" applyAlignment="1">
      <alignment horizontal="center" vertical="center" wrapText="1"/>
    </xf>
    <xf numFmtId="1" fontId="18" fillId="7" borderId="1" xfId="0" applyNumberFormat="1" applyFont="1" applyFill="1" applyBorder="1" applyAlignment="1">
      <alignment horizontal="center" vertical="center" wrapText="1"/>
    </xf>
    <xf numFmtId="1" fontId="11" fillId="7" borderId="1" xfId="0" applyNumberFormat="1" applyFont="1" applyFill="1" applyBorder="1"/>
    <xf numFmtId="4" fontId="26" fillId="7" borderId="1" xfId="0" applyNumberFormat="1" applyFont="1" applyFill="1" applyBorder="1" applyAlignment="1">
      <alignment horizontal="left" vertical="center" wrapText="1"/>
    </xf>
    <xf numFmtId="4" fontId="16" fillId="7" borderId="1" xfId="1" applyNumberFormat="1" applyFont="1" applyFill="1" applyBorder="1" applyAlignment="1">
      <alignment horizontal="center" vertical="center" wrapText="1"/>
    </xf>
    <xf numFmtId="49" fontId="13" fillId="7" borderId="1" xfId="0" applyNumberFormat="1" applyFont="1" applyFill="1" applyBorder="1" applyAlignment="1">
      <alignment horizontal="center" vertical="center"/>
    </xf>
    <xf numFmtId="0" fontId="37" fillId="7" borderId="1" xfId="0" applyFont="1" applyFill="1" applyBorder="1" applyAlignment="1">
      <alignment horizontal="left" wrapText="1"/>
    </xf>
    <xf numFmtId="4" fontId="11" fillId="7" borderId="1" xfId="1" applyNumberFormat="1" applyFont="1" applyFill="1" applyBorder="1" applyAlignment="1">
      <alignment horizontal="left" vertical="center" wrapText="1"/>
    </xf>
    <xf numFmtId="4" fontId="11" fillId="7" borderId="1" xfId="1" applyNumberFormat="1" applyFont="1" applyFill="1" applyBorder="1" applyAlignment="1">
      <alignment horizontal="center" vertical="center" wrapText="1"/>
    </xf>
    <xf numFmtId="1" fontId="14" fillId="7" borderId="1" xfId="0" applyNumberFormat="1" applyFont="1" applyFill="1" applyBorder="1" applyAlignment="1">
      <alignment horizontal="center" vertical="center" wrapText="1"/>
    </xf>
    <xf numFmtId="4" fontId="26" fillId="7" borderId="1" xfId="0" applyNumberFormat="1" applyFont="1" applyFill="1" applyBorder="1" applyAlignment="1">
      <alignment horizontal="center"/>
    </xf>
    <xf numFmtId="4" fontId="16" fillId="7" borderId="1" xfId="0" applyNumberFormat="1" applyFont="1" applyFill="1" applyBorder="1" applyAlignment="1">
      <alignment horizontal="center"/>
    </xf>
    <xf numFmtId="1" fontId="15" fillId="7" borderId="1" xfId="0" applyNumberFormat="1" applyFont="1" applyFill="1" applyBorder="1" applyAlignment="1">
      <alignment horizontal="center" vertical="center" wrapText="1"/>
    </xf>
    <xf numFmtId="4" fontId="4" fillId="7" borderId="0" xfId="0" applyNumberFormat="1" applyFont="1" applyFill="1"/>
    <xf numFmtId="1" fontId="2" fillId="7" borderId="1" xfId="0" applyNumberFormat="1" applyFont="1" applyFill="1" applyBorder="1" applyAlignment="1">
      <alignment horizontal="center" vertical="center" wrapText="1"/>
    </xf>
    <xf numFmtId="1" fontId="4" fillId="7" borderId="0" xfId="0" applyNumberFormat="1" applyFont="1" applyFill="1"/>
    <xf numFmtId="4" fontId="51" fillId="7" borderId="1" xfId="0" applyNumberFormat="1" applyFont="1" applyFill="1" applyBorder="1" applyAlignment="1">
      <alignment wrapText="1"/>
    </xf>
    <xf numFmtId="4" fontId="38" fillId="7" borderId="2" xfId="1" applyNumberFormat="1" applyFont="1" applyFill="1" applyBorder="1" applyAlignment="1">
      <alignment horizontal="center" vertical="center" wrapText="1"/>
    </xf>
    <xf numFmtId="1" fontId="4" fillId="7" borderId="4" xfId="0" applyNumberFormat="1" applyFont="1" applyFill="1" applyBorder="1"/>
    <xf numFmtId="4" fontId="11" fillId="7" borderId="4" xfId="1" applyNumberFormat="1" applyFont="1" applyFill="1" applyBorder="1" applyAlignment="1">
      <alignment horizontal="center" vertical="center" wrapText="1"/>
    </xf>
    <xf numFmtId="4" fontId="2" fillId="7" borderId="4" xfId="0" applyNumberFormat="1" applyFont="1" applyFill="1" applyBorder="1" applyAlignment="1">
      <alignment horizontal="center" vertical="center" wrapText="1"/>
    </xf>
    <xf numFmtId="4" fontId="13" fillId="7" borderId="1" xfId="2" applyNumberFormat="1" applyFont="1" applyFill="1" applyBorder="1" applyAlignment="1">
      <alignment horizontal="center" vertical="center" wrapText="1"/>
    </xf>
    <xf numFmtId="4" fontId="2" fillId="7" borderId="1" xfId="2" applyNumberFormat="1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vertical="center" wrapText="1"/>
    </xf>
    <xf numFmtId="4" fontId="12" fillId="7" borderId="1" xfId="0" applyNumberFormat="1" applyFont="1" applyFill="1" applyBorder="1" applyAlignment="1">
      <alignment wrapText="1"/>
    </xf>
    <xf numFmtId="4" fontId="12" fillId="7" borderId="1" xfId="0" applyNumberFormat="1" applyFont="1" applyFill="1" applyBorder="1" applyAlignment="1">
      <alignment horizontal="center" wrapText="1"/>
    </xf>
    <xf numFmtId="1" fontId="22" fillId="7" borderId="1" xfId="0" applyNumberFormat="1" applyFont="1" applyFill="1" applyBorder="1" applyAlignment="1">
      <alignment horizontal="center" vertical="center" wrapText="1"/>
    </xf>
    <xf numFmtId="4" fontId="16" fillId="7" borderId="1" xfId="0" applyNumberFormat="1" applyFont="1" applyFill="1" applyBorder="1" applyAlignment="1">
      <alignment horizontal="left" vertical="center" wrapText="1"/>
    </xf>
    <xf numFmtId="4" fontId="31" fillId="7" borderId="1" xfId="2" applyNumberFormat="1" applyFont="1" applyFill="1" applyBorder="1" applyAlignment="1">
      <alignment horizontal="center" vertical="center" wrapText="1"/>
    </xf>
    <xf numFmtId="1" fontId="17" fillId="7" borderId="1" xfId="0" applyNumberFormat="1" applyFont="1" applyFill="1" applyBorder="1"/>
    <xf numFmtId="0" fontId="48" fillId="7" borderId="4" xfId="0" applyFont="1" applyFill="1" applyBorder="1" applyAlignment="1">
      <alignment horizontal="left" vertical="center" wrapText="1"/>
    </xf>
    <xf numFmtId="3" fontId="12" fillId="7" borderId="1" xfId="0" applyNumberFormat="1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vertical="center"/>
    </xf>
    <xf numFmtId="4" fontId="11" fillId="7" borderId="1" xfId="2" applyNumberFormat="1" applyFont="1" applyFill="1" applyBorder="1" applyAlignment="1">
      <alignment horizontal="center" vertical="center" wrapText="1"/>
    </xf>
    <xf numFmtId="0" fontId="39" fillId="7" borderId="1" xfId="0" applyFont="1" applyFill="1" applyBorder="1" applyAlignment="1">
      <alignment horizontal="left" vertical="center" wrapText="1"/>
    </xf>
    <xf numFmtId="4" fontId="12" fillId="7" borderId="1" xfId="2" applyNumberFormat="1" applyFont="1" applyFill="1" applyBorder="1" applyAlignment="1">
      <alignment horizontal="center" vertical="center" wrapText="1"/>
    </xf>
    <xf numFmtId="1" fontId="23" fillId="7" borderId="1" xfId="0" applyNumberFormat="1" applyFont="1" applyFill="1" applyBorder="1" applyAlignment="1">
      <alignment horizontal="center" vertical="center" wrapText="1"/>
    </xf>
    <xf numFmtId="0" fontId="52" fillId="7" borderId="1" xfId="0" applyFont="1" applyFill="1" applyBorder="1" applyAlignment="1">
      <alignment horizontal="left" vertical="center" wrapText="1"/>
    </xf>
    <xf numFmtId="0" fontId="40" fillId="7" borderId="1" xfId="0" applyFont="1" applyFill="1" applyBorder="1" applyAlignment="1">
      <alignment horizontal="left" vertical="center" wrapText="1"/>
    </xf>
    <xf numFmtId="4" fontId="41" fillId="7" borderId="1" xfId="0" applyNumberFormat="1" applyFont="1" applyFill="1" applyBorder="1" applyAlignment="1">
      <alignment vertical="center" wrapText="1"/>
    </xf>
    <xf numFmtId="4" fontId="39" fillId="7" borderId="1" xfId="0" applyNumberFormat="1" applyFont="1" applyFill="1" applyBorder="1" applyAlignment="1">
      <alignment vertical="center" wrapText="1"/>
    </xf>
    <xf numFmtId="0" fontId="11" fillId="7" borderId="4" xfId="0" applyFont="1" applyFill="1" applyBorder="1" applyAlignment="1">
      <alignment horizontal="left" vertical="center" wrapText="1"/>
    </xf>
    <xf numFmtId="3" fontId="37" fillId="7" borderId="1" xfId="0" applyNumberFormat="1" applyFont="1" applyFill="1" applyBorder="1" applyAlignment="1">
      <alignment horizontal="center" vertical="center"/>
    </xf>
    <xf numFmtId="3" fontId="2" fillId="7" borderId="1" xfId="0" applyNumberFormat="1" applyFont="1" applyFill="1" applyBorder="1" applyAlignment="1">
      <alignment horizontal="center" vertical="center"/>
    </xf>
    <xf numFmtId="1" fontId="10" fillId="7" borderId="1" xfId="0" applyNumberFormat="1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horizontal="center" vertical="center"/>
    </xf>
    <xf numFmtId="3" fontId="10" fillId="7" borderId="1" xfId="0" applyNumberFormat="1" applyFont="1" applyFill="1" applyBorder="1" applyAlignment="1">
      <alignment horizontal="center" vertical="center"/>
    </xf>
    <xf numFmtId="1" fontId="13" fillId="7" borderId="0" xfId="0" applyNumberFormat="1" applyFont="1" applyFill="1" applyBorder="1" applyAlignment="1">
      <alignment horizontal="center" vertical="center" wrapText="1"/>
    </xf>
    <xf numFmtId="3" fontId="11" fillId="7" borderId="1" xfId="0" applyNumberFormat="1" applyFont="1" applyFill="1" applyBorder="1" applyAlignment="1">
      <alignment horizontal="center" vertical="center" wrapText="1"/>
    </xf>
    <xf numFmtId="3" fontId="10" fillId="7" borderId="1" xfId="1" applyNumberFormat="1" applyFont="1" applyFill="1" applyBorder="1" applyAlignment="1">
      <alignment horizontal="center" vertical="center" wrapText="1"/>
    </xf>
    <xf numFmtId="3" fontId="2" fillId="7" borderId="1" xfId="1" applyNumberFormat="1" applyFont="1" applyFill="1" applyBorder="1" applyAlignment="1">
      <alignment horizontal="center" vertical="center" wrapText="1"/>
    </xf>
    <xf numFmtId="4" fontId="12" fillId="7" borderId="1" xfId="0" applyNumberFormat="1" applyFont="1" applyFill="1" applyBorder="1" applyAlignment="1">
      <alignment horizontal="left" wrapText="1"/>
    </xf>
    <xf numFmtId="3" fontId="12" fillId="7" borderId="1" xfId="0" applyNumberFormat="1" applyFont="1" applyFill="1" applyBorder="1" applyAlignment="1">
      <alignment horizontal="center" wrapText="1"/>
    </xf>
    <xf numFmtId="3" fontId="12" fillId="7" borderId="1" xfId="2" applyNumberFormat="1" applyFont="1" applyFill="1" applyBorder="1" applyAlignment="1">
      <alignment horizontal="center" vertical="center" wrapText="1"/>
    </xf>
    <xf numFmtId="3" fontId="9" fillId="7" borderId="1" xfId="2" applyNumberFormat="1" applyFont="1" applyFill="1" applyBorder="1" applyAlignment="1">
      <alignment horizontal="center" vertical="center" wrapText="1"/>
    </xf>
    <xf numFmtId="4" fontId="10" fillId="7" borderId="1" xfId="2" applyNumberFormat="1" applyFont="1" applyFill="1" applyBorder="1" applyAlignment="1">
      <alignment horizontal="center" vertical="center" wrapText="1"/>
    </xf>
    <xf numFmtId="3" fontId="13" fillId="7" borderId="1" xfId="2" applyNumberFormat="1" applyFont="1" applyFill="1" applyBorder="1" applyAlignment="1">
      <alignment horizontal="center" vertical="center" wrapText="1"/>
    </xf>
    <xf numFmtId="0" fontId="12" fillId="7" borderId="0" xfId="0" applyFont="1" applyFill="1" applyAlignment="1">
      <alignment vertical="center"/>
    </xf>
    <xf numFmtId="49" fontId="12" fillId="7" borderId="1" xfId="0" applyNumberFormat="1" applyFont="1" applyFill="1" applyBorder="1" applyAlignment="1">
      <alignment horizontal="left" vertical="center" wrapText="1"/>
    </xf>
    <xf numFmtId="49" fontId="37" fillId="7" borderId="1" xfId="0" applyNumberFormat="1" applyFont="1" applyFill="1" applyBorder="1" applyAlignment="1">
      <alignment horizontal="left" vertical="center" wrapText="1"/>
    </xf>
    <xf numFmtId="3" fontId="10" fillId="7" borderId="2" xfId="0" applyNumberFormat="1" applyFont="1" applyFill="1" applyBorder="1" applyAlignment="1">
      <alignment horizontal="center" vertical="center" wrapText="1"/>
    </xf>
    <xf numFmtId="1" fontId="33" fillId="7" borderId="1" xfId="0" applyNumberFormat="1" applyFont="1" applyFill="1" applyBorder="1" applyAlignment="1">
      <alignment horizontal="center" vertical="center" wrapText="1"/>
    </xf>
    <xf numFmtId="4" fontId="25" fillId="7" borderId="1" xfId="0" applyNumberFormat="1" applyFont="1" applyFill="1" applyBorder="1" applyAlignment="1">
      <alignment horizontal="left" vertical="center" wrapText="1"/>
    </xf>
    <xf numFmtId="4" fontId="25" fillId="7" borderId="1" xfId="0" applyNumberFormat="1" applyFont="1" applyFill="1" applyBorder="1" applyAlignment="1">
      <alignment horizontal="center" vertical="center" wrapText="1"/>
    </xf>
    <xf numFmtId="4" fontId="31" fillId="7" borderId="1" xfId="0" applyNumberFormat="1" applyFont="1" applyFill="1" applyBorder="1" applyAlignment="1">
      <alignment horizontal="center" vertical="center" wrapText="1"/>
    </xf>
    <xf numFmtId="1" fontId="21" fillId="7" borderId="1" xfId="0" applyNumberFormat="1" applyFont="1" applyFill="1" applyBorder="1"/>
    <xf numFmtId="3" fontId="12" fillId="7" borderId="1" xfId="0" applyNumberFormat="1" applyFont="1" applyFill="1" applyBorder="1" applyAlignment="1">
      <alignment vertical="center" wrapText="1"/>
    </xf>
    <xf numFmtId="0" fontId="58" fillId="7" borderId="1" xfId="0" applyFont="1" applyFill="1" applyBorder="1" applyAlignment="1">
      <alignment horizontal="left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left"/>
    </xf>
    <xf numFmtId="4" fontId="16" fillId="7" borderId="1" xfId="0" applyNumberFormat="1" applyFont="1" applyFill="1" applyBorder="1" applyAlignment="1">
      <alignment horizontal="left"/>
    </xf>
    <xf numFmtId="0" fontId="16" fillId="7" borderId="0" xfId="0" applyFont="1" applyFill="1" applyBorder="1" applyAlignment="1">
      <alignment horizontal="left"/>
    </xf>
    <xf numFmtId="4" fontId="16" fillId="7" borderId="0" xfId="0" applyNumberFormat="1" applyFont="1" applyFill="1" applyBorder="1" applyAlignment="1">
      <alignment horizontal="left"/>
    </xf>
    <xf numFmtId="4" fontId="16" fillId="7" borderId="0" xfId="0" applyNumberFormat="1" applyFont="1" applyFill="1" applyBorder="1" applyAlignment="1">
      <alignment horizontal="center" wrapText="1"/>
    </xf>
    <xf numFmtId="0" fontId="16" fillId="7" borderId="0" xfId="0" applyFont="1" applyFill="1" applyBorder="1" applyAlignment="1">
      <alignment horizontal="center" wrapText="1"/>
    </xf>
    <xf numFmtId="4" fontId="0" fillId="7" borderId="0" xfId="0" applyNumberFormat="1" applyFill="1" applyAlignment="1">
      <alignment horizontal="center" vertical="center" wrapText="1"/>
    </xf>
    <xf numFmtId="4" fontId="7" fillId="7" borderId="0" xfId="0" applyNumberFormat="1" applyFont="1" applyFill="1" applyBorder="1" applyAlignment="1">
      <alignment horizontal="center" vertical="center" wrapText="1"/>
    </xf>
    <xf numFmtId="4" fontId="9" fillId="7" borderId="0" xfId="0" applyNumberFormat="1" applyFont="1" applyFill="1" applyBorder="1" applyAlignment="1">
      <alignment horizontal="center" wrapText="1"/>
    </xf>
    <xf numFmtId="4" fontId="10" fillId="7" borderId="0" xfId="0" applyNumberFormat="1" applyFont="1" applyFill="1" applyBorder="1" applyAlignment="1">
      <alignment horizontal="center" wrapText="1"/>
    </xf>
    <xf numFmtId="0" fontId="12" fillId="7" borderId="1" xfId="0" applyFont="1" applyFill="1" applyBorder="1" applyAlignment="1">
      <alignment horizontal="center" vertical="center" wrapText="1"/>
    </xf>
    <xf numFmtId="14" fontId="12" fillId="7" borderId="1" xfId="0" applyNumberFormat="1" applyFont="1" applyFill="1" applyBorder="1" applyAlignment="1">
      <alignment horizontal="center" vertical="center" wrapText="1"/>
    </xf>
    <xf numFmtId="2" fontId="10" fillId="7" borderId="1" xfId="0" applyNumberFormat="1" applyFont="1" applyFill="1" applyBorder="1" applyAlignment="1">
      <alignment horizontal="center" vertical="center" wrapText="1"/>
    </xf>
    <xf numFmtId="2" fontId="0" fillId="7" borderId="1" xfId="0" applyNumberForma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left" vertical="center" wrapText="1"/>
    </xf>
    <xf numFmtId="0" fontId="12" fillId="7" borderId="1" xfId="0" applyFont="1" applyFill="1" applyBorder="1" applyAlignment="1">
      <alignment horizontal="left" vertical="justify" wrapText="1"/>
    </xf>
    <xf numFmtId="2" fontId="35" fillId="7" borderId="1" xfId="0" applyNumberFormat="1" applyFont="1" applyFill="1" applyBorder="1" applyAlignment="1">
      <alignment horizontal="center" vertical="center" wrapText="1"/>
    </xf>
    <xf numFmtId="4" fontId="0" fillId="7" borderId="0" xfId="0" applyNumberFormat="1" applyFill="1" applyBorder="1" applyAlignment="1">
      <alignment horizontal="center" vertical="center" wrapText="1"/>
    </xf>
    <xf numFmtId="4" fontId="24" fillId="7" borderId="0" xfId="0" applyNumberFormat="1" applyFont="1" applyFill="1" applyBorder="1" applyAlignment="1">
      <alignment horizontal="center" vertical="center" wrapText="1"/>
    </xf>
    <xf numFmtId="4" fontId="24" fillId="7" borderId="0" xfId="0" applyNumberFormat="1" applyFont="1" applyFill="1" applyBorder="1"/>
    <xf numFmtId="165" fontId="12" fillId="7" borderId="1" xfId="1" applyNumberFormat="1" applyFont="1" applyFill="1" applyBorder="1" applyAlignment="1">
      <alignment horizontal="left" vertical="top"/>
    </xf>
    <xf numFmtId="4" fontId="16" fillId="7" borderId="1" xfId="0" applyNumberFormat="1" applyFont="1" applyFill="1" applyBorder="1" applyAlignment="1">
      <alignment horizontal="center" wrapText="1"/>
    </xf>
    <xf numFmtId="4" fontId="16" fillId="7" borderId="3" xfId="0" applyNumberFormat="1" applyFont="1" applyFill="1" applyBorder="1" applyAlignment="1">
      <alignment horizontal="center" wrapText="1"/>
    </xf>
    <xf numFmtId="1" fontId="13" fillId="7" borderId="3" xfId="0" applyNumberFormat="1" applyFont="1" applyFill="1" applyBorder="1" applyAlignment="1">
      <alignment horizontal="center" vertical="center" wrapText="1"/>
    </xf>
    <xf numFmtId="4" fontId="11" fillId="7" borderId="6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wrapText="1"/>
    </xf>
    <xf numFmtId="0" fontId="12" fillId="7" borderId="1" xfId="0" applyFont="1" applyFill="1" applyBorder="1" applyAlignment="1">
      <alignment horizontal="justify" vertical="top" wrapText="1"/>
    </xf>
    <xf numFmtId="1" fontId="34" fillId="7" borderId="1" xfId="0" applyNumberFormat="1" applyFont="1" applyFill="1" applyBorder="1"/>
    <xf numFmtId="4" fontId="22" fillId="7" borderId="1" xfId="0" applyNumberFormat="1" applyFont="1" applyFill="1" applyBorder="1" applyAlignment="1">
      <alignment horizontal="left" vertical="center" wrapText="1"/>
    </xf>
    <xf numFmtId="0" fontId="0" fillId="7" borderId="1" xfId="0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24" fillId="7" borderId="0" xfId="0" applyFont="1" applyFill="1" applyBorder="1" applyAlignment="1">
      <alignment horizontal="center" vertical="center" wrapText="1"/>
    </xf>
    <xf numFmtId="0" fontId="24" fillId="7" borderId="0" xfId="0" applyFont="1" applyFill="1" applyBorder="1"/>
    <xf numFmtId="1" fontId="0" fillId="7" borderId="1" xfId="0" applyNumberFormat="1" applyFill="1" applyBorder="1" applyAlignment="1">
      <alignment horizontal="center" vertical="center" wrapText="1"/>
    </xf>
    <xf numFmtId="1" fontId="7" fillId="7" borderId="1" xfId="0" applyNumberFormat="1" applyFont="1" applyFill="1" applyBorder="1" applyAlignment="1">
      <alignment horizontal="center" vertical="center" wrapText="1"/>
    </xf>
    <xf numFmtId="0" fontId="12" fillId="7" borderId="0" xfId="0" applyFont="1" applyFill="1" applyAlignment="1">
      <alignment horizontal="left" vertical="justify" wrapText="1"/>
    </xf>
    <xf numFmtId="1" fontId="35" fillId="7" borderId="1" xfId="0" applyNumberFormat="1" applyFont="1" applyFill="1" applyBorder="1" applyAlignment="1">
      <alignment horizontal="center" vertical="center" wrapText="1"/>
    </xf>
    <xf numFmtId="4" fontId="16" fillId="7" borderId="1" xfId="1" applyNumberFormat="1" applyFont="1" applyFill="1" applyBorder="1" applyAlignment="1">
      <alignment horizontal="center" vertical="center"/>
    </xf>
    <xf numFmtId="4" fontId="2" fillId="7" borderId="4" xfId="1" applyNumberFormat="1" applyFont="1" applyFill="1" applyBorder="1" applyAlignment="1">
      <alignment horizontal="center" vertical="center"/>
    </xf>
    <xf numFmtId="4" fontId="12" fillId="7" borderId="4" xfId="1" applyNumberFormat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/>
    </xf>
    <xf numFmtId="4" fontId="11" fillId="7" borderId="4" xfId="0" applyNumberFormat="1" applyFont="1" applyFill="1" applyBorder="1" applyAlignment="1">
      <alignment horizontal="center" vertical="center" wrapText="1"/>
    </xf>
    <xf numFmtId="4" fontId="12" fillId="7" borderId="1" xfId="0" applyNumberFormat="1" applyFont="1" applyFill="1" applyBorder="1" applyAlignment="1">
      <alignment vertical="center" wrapText="1"/>
    </xf>
    <xf numFmtId="2" fontId="12" fillId="7" borderId="1" xfId="0" applyNumberFormat="1" applyFont="1" applyFill="1" applyBorder="1" applyAlignment="1">
      <alignment horizontal="left" vertical="justify" wrapText="1"/>
    </xf>
    <xf numFmtId="4" fontId="13" fillId="7" borderId="1" xfId="0" applyNumberFormat="1" applyFont="1" applyFill="1" applyBorder="1" applyAlignment="1">
      <alignment vertical="center" wrapText="1"/>
    </xf>
    <xf numFmtId="4" fontId="13" fillId="7" borderId="1" xfId="0" applyNumberFormat="1" applyFont="1" applyFill="1" applyBorder="1" applyAlignment="1">
      <alignment horizontal="center" wrapText="1"/>
    </xf>
    <xf numFmtId="1" fontId="50" fillId="7" borderId="1" xfId="0" applyNumberFormat="1" applyFont="1" applyFill="1" applyBorder="1" applyAlignment="1">
      <alignment horizontal="center" vertical="center" wrapText="1"/>
    </xf>
    <xf numFmtId="4" fontId="50" fillId="7" borderId="1" xfId="0" applyNumberFormat="1" applyFont="1" applyFill="1" applyBorder="1" applyAlignment="1">
      <alignment horizontal="left" vertical="center" wrapText="1"/>
    </xf>
    <xf numFmtId="4" fontId="50" fillId="7" borderId="1" xfId="0" applyNumberFormat="1" applyFont="1" applyFill="1" applyBorder="1" applyAlignment="1">
      <alignment horizontal="center" vertical="center" wrapText="1"/>
    </xf>
    <xf numFmtId="165" fontId="11" fillId="7" borderId="1" xfId="1" applyNumberFormat="1" applyFont="1" applyFill="1" applyBorder="1" applyAlignment="1">
      <alignment horizontal="left" vertical="center" wrapText="1"/>
    </xf>
    <xf numFmtId="1" fontId="35" fillId="7" borderId="0" xfId="0" applyNumberFormat="1" applyFont="1" applyFill="1" applyBorder="1" applyAlignment="1">
      <alignment horizontal="center" vertical="center" wrapText="1"/>
    </xf>
    <xf numFmtId="1" fontId="18" fillId="7" borderId="1" xfId="0" applyNumberFormat="1" applyFont="1" applyFill="1" applyBorder="1" applyAlignment="1">
      <alignment horizontal="left" vertical="center" wrapText="1"/>
    </xf>
    <xf numFmtId="4" fontId="18" fillId="7" borderId="1" xfId="0" applyNumberFormat="1" applyFont="1" applyFill="1" applyBorder="1" applyAlignment="1">
      <alignment horizontal="left" vertical="center" wrapText="1"/>
    </xf>
    <xf numFmtId="4" fontId="7" fillId="7" borderId="2" xfId="0" applyNumberFormat="1" applyFont="1" applyFill="1" applyBorder="1" applyAlignment="1">
      <alignment horizontal="center" vertical="center" wrapText="1"/>
    </xf>
    <xf numFmtId="4" fontId="28" fillId="7" borderId="4" xfId="0" applyNumberFormat="1" applyFont="1" applyFill="1" applyBorder="1" applyAlignment="1">
      <alignment horizontal="left" vertical="center" wrapText="1"/>
    </xf>
    <xf numFmtId="165" fontId="11" fillId="7" borderId="2" xfId="1" applyNumberFormat="1" applyFont="1" applyFill="1" applyBorder="1" applyAlignment="1">
      <alignment horizontal="left" vertical="center" wrapText="1"/>
    </xf>
    <xf numFmtId="4" fontId="21" fillId="7" borderId="1" xfId="0" applyNumberFormat="1" applyFont="1" applyFill="1" applyBorder="1" applyAlignment="1">
      <alignment horizontal="center" vertical="center" wrapText="1"/>
    </xf>
    <xf numFmtId="1" fontId="18" fillId="7" borderId="1" xfId="0" applyNumberFormat="1" applyFont="1" applyFill="1" applyBorder="1" applyAlignment="1">
      <alignment horizontal="center" vertical="center"/>
    </xf>
    <xf numFmtId="4" fontId="22" fillId="7" borderId="1" xfId="0" applyNumberFormat="1" applyFont="1" applyFill="1" applyBorder="1" applyAlignment="1">
      <alignment horizontal="center" vertical="center" wrapText="1"/>
    </xf>
    <xf numFmtId="1" fontId="26" fillId="7" borderId="1" xfId="0" applyNumberFormat="1" applyFont="1" applyFill="1" applyBorder="1" applyAlignment="1">
      <alignment horizontal="center" vertical="center" wrapText="1"/>
    </xf>
    <xf numFmtId="1" fontId="25" fillId="7" borderId="1" xfId="0" applyNumberFormat="1" applyFont="1" applyFill="1" applyBorder="1" applyAlignment="1">
      <alignment horizontal="center" vertical="center"/>
    </xf>
    <xf numFmtId="1" fontId="26" fillId="7" borderId="1" xfId="0" applyNumberFormat="1" applyFont="1" applyFill="1" applyBorder="1" applyAlignment="1">
      <alignment horizontal="center" wrapText="1"/>
    </xf>
    <xf numFmtId="0" fontId="26" fillId="7" borderId="1" xfId="0" applyFont="1" applyFill="1" applyBorder="1" applyAlignment="1">
      <alignment horizontal="center" vertical="center"/>
    </xf>
    <xf numFmtId="4" fontId="26" fillId="7" borderId="1" xfId="0" applyNumberFormat="1" applyFont="1" applyFill="1" applyBorder="1" applyAlignment="1">
      <alignment horizontal="center" wrapText="1"/>
    </xf>
    <xf numFmtId="0" fontId="24" fillId="7" borderId="1" xfId="0" applyFont="1" applyFill="1" applyBorder="1" applyAlignment="1">
      <alignment horizontal="center" vertical="center" wrapText="1"/>
    </xf>
    <xf numFmtId="0" fontId="24" fillId="7" borderId="1" xfId="0" applyFont="1" applyFill="1" applyBorder="1"/>
    <xf numFmtId="49" fontId="12" fillId="7" borderId="1" xfId="1" applyNumberFormat="1" applyFont="1" applyFill="1" applyBorder="1" applyAlignment="1">
      <alignment horizontal="left" vertical="center" wrapText="1"/>
    </xf>
    <xf numFmtId="2" fontId="10" fillId="7" borderId="2" xfId="0" applyNumberFormat="1" applyFont="1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4" fontId="11" fillId="7" borderId="4" xfId="0" applyNumberFormat="1" applyFont="1" applyFill="1" applyBorder="1" applyAlignment="1">
      <alignment horizontal="left" vertical="center" wrapText="1"/>
    </xf>
    <xf numFmtId="4" fontId="7" fillId="7" borderId="1" xfId="0" applyNumberFormat="1" applyFont="1" applyFill="1" applyBorder="1" applyAlignment="1">
      <alignment horizontal="center" vertical="center" wrapText="1"/>
    </xf>
    <xf numFmtId="2" fontId="10" fillId="7" borderId="0" xfId="0" applyNumberFormat="1" applyFont="1" applyFill="1" applyBorder="1" applyAlignment="1">
      <alignment horizontal="center" vertical="center" wrapText="1"/>
    </xf>
    <xf numFmtId="4" fontId="12" fillId="7" borderId="0" xfId="0" applyNumberFormat="1" applyFont="1" applyFill="1" applyBorder="1" applyAlignment="1">
      <alignment horizontal="left" vertical="center" wrapText="1"/>
    </xf>
    <xf numFmtId="4" fontId="12" fillId="7" borderId="0" xfId="0" applyNumberFormat="1" applyFont="1" applyFill="1" applyBorder="1" applyAlignment="1">
      <alignment horizontal="center" vertical="center" wrapText="1"/>
    </xf>
    <xf numFmtId="0" fontId="48" fillId="7" borderId="1" xfId="0" applyFont="1" applyFill="1" applyBorder="1" applyAlignment="1">
      <alignment horizontal="left" vertical="center" wrapText="1"/>
    </xf>
    <xf numFmtId="0" fontId="37" fillId="7" borderId="0" xfId="0" applyFont="1" applyFill="1" applyAlignment="1">
      <alignment wrapText="1"/>
    </xf>
    <xf numFmtId="0" fontId="1" fillId="7" borderId="0" xfId="0" applyFont="1" applyFill="1" applyBorder="1" applyAlignment="1">
      <alignment horizontal="center" vertical="center" wrapText="1"/>
    </xf>
    <xf numFmtId="0" fontId="1" fillId="7" borderId="0" xfId="0" applyFont="1" applyFill="1" applyBorder="1"/>
    <xf numFmtId="1" fontId="1" fillId="7" borderId="1" xfId="0" applyNumberFormat="1" applyFont="1" applyFill="1" applyBorder="1"/>
    <xf numFmtId="4" fontId="1" fillId="7" borderId="0" xfId="0" applyNumberFormat="1" applyFont="1" applyFill="1" applyBorder="1" applyAlignment="1">
      <alignment horizontal="center" vertical="center" wrapText="1"/>
    </xf>
    <xf numFmtId="4" fontId="1" fillId="7" borderId="0" xfId="0" applyNumberFormat="1" applyFont="1" applyFill="1" applyBorder="1"/>
    <xf numFmtId="49" fontId="10" fillId="7" borderId="1" xfId="0" applyNumberFormat="1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horizontal="center" vertical="center" wrapText="1"/>
    </xf>
    <xf numFmtId="0" fontId="26" fillId="7" borderId="0" xfId="0" applyFont="1" applyFill="1" applyBorder="1" applyAlignment="1">
      <alignment horizontal="center" vertical="center"/>
    </xf>
    <xf numFmtId="4" fontId="26" fillId="7" borderId="0" xfId="0" applyNumberFormat="1" applyFont="1" applyFill="1" applyBorder="1" applyAlignment="1">
      <alignment horizontal="center" wrapText="1"/>
    </xf>
    <xf numFmtId="0" fontId="7" fillId="7" borderId="0" xfId="0" applyFont="1" applyFill="1" applyAlignment="1">
      <alignment horizontal="center" vertical="center" wrapText="1"/>
    </xf>
    <xf numFmtId="0" fontId="24" fillId="7" borderId="3" xfId="0" applyFont="1" applyFill="1" applyBorder="1" applyAlignment="1">
      <alignment horizontal="center" vertical="center" wrapText="1"/>
    </xf>
    <xf numFmtId="4" fontId="27" fillId="7" borderId="1" xfId="1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4" fontId="9" fillId="7" borderId="0" xfId="0" applyNumberFormat="1" applyFont="1" applyFill="1" applyBorder="1" applyAlignment="1">
      <alignment horizontal="center" wrapText="1"/>
    </xf>
    <xf numFmtId="0" fontId="26" fillId="7" borderId="0" xfId="0" applyFont="1" applyFill="1" applyBorder="1" applyAlignment="1">
      <alignment horizontal="center" wrapText="1"/>
    </xf>
    <xf numFmtId="0" fontId="3" fillId="7" borderId="0" xfId="0" applyFont="1" applyFill="1" applyBorder="1" applyAlignment="1">
      <alignment horizontal="left"/>
    </xf>
    <xf numFmtId="0" fontId="62" fillId="7" borderId="0" xfId="0" applyFont="1" applyFill="1" applyBorder="1" applyAlignment="1">
      <alignment horizontal="center" vertical="center" wrapText="1"/>
    </xf>
    <xf numFmtId="4" fontId="33" fillId="7" borderId="1" xfId="1" applyNumberFormat="1" applyFont="1" applyFill="1" applyBorder="1" applyAlignment="1">
      <alignment horizontal="center" vertical="center"/>
    </xf>
    <xf numFmtId="4" fontId="9" fillId="7" borderId="4" xfId="1" applyNumberFormat="1" applyFont="1" applyFill="1" applyBorder="1" applyAlignment="1">
      <alignment horizontal="center" vertical="center"/>
    </xf>
    <xf numFmtId="4" fontId="13" fillId="7" borderId="1" xfId="1" applyNumberFormat="1" applyFont="1" applyFill="1" applyBorder="1" applyAlignment="1">
      <alignment horizontal="center" vertical="center"/>
    </xf>
    <xf numFmtId="4" fontId="13" fillId="7" borderId="1" xfId="0" applyNumberFormat="1" applyFont="1" applyFill="1" applyBorder="1" applyAlignment="1">
      <alignment horizontal="center" vertical="center"/>
    </xf>
    <xf numFmtId="4" fontId="11" fillId="7" borderId="1" xfId="0" applyNumberFormat="1" applyFont="1" applyFill="1" applyBorder="1" applyAlignment="1">
      <alignment horizontal="center" vertical="center"/>
    </xf>
    <xf numFmtId="4" fontId="9" fillId="7" borderId="1" xfId="0" applyNumberFormat="1" applyFont="1" applyFill="1" applyBorder="1" applyAlignment="1">
      <alignment horizontal="center" vertical="center"/>
    </xf>
    <xf numFmtId="4" fontId="13" fillId="7" borderId="4" xfId="1" applyNumberFormat="1" applyFont="1" applyFill="1" applyBorder="1" applyAlignment="1">
      <alignment horizontal="center" vertical="center" wrapText="1"/>
    </xf>
    <xf numFmtId="4" fontId="63" fillId="7" borderId="1" xfId="1" applyNumberFormat="1" applyFont="1" applyFill="1" applyBorder="1" applyAlignment="1">
      <alignment horizontal="center" vertical="center" wrapText="1"/>
    </xf>
    <xf numFmtId="4" fontId="11" fillId="7" borderId="2" xfId="0" applyNumberFormat="1" applyFont="1" applyFill="1" applyBorder="1" applyAlignment="1">
      <alignment horizontal="center" vertical="center"/>
    </xf>
    <xf numFmtId="4" fontId="62" fillId="7" borderId="1" xfId="0" applyNumberFormat="1" applyFont="1" applyFill="1" applyBorder="1"/>
    <xf numFmtId="4" fontId="11" fillId="7" borderId="2" xfId="1" applyNumberFormat="1" applyFont="1" applyFill="1" applyBorder="1" applyAlignment="1">
      <alignment horizontal="center" vertical="center" wrapText="1"/>
    </xf>
    <xf numFmtId="4" fontId="9" fillId="7" borderId="2" xfId="1" applyNumberFormat="1" applyFont="1" applyFill="1" applyBorder="1" applyAlignment="1">
      <alignment horizontal="center" vertical="center" wrapText="1"/>
    </xf>
    <xf numFmtId="4" fontId="13" fillId="7" borderId="2" xfId="1" applyNumberFormat="1" applyFont="1" applyFill="1" applyBorder="1" applyAlignment="1">
      <alignment horizontal="center" vertical="center" wrapText="1"/>
    </xf>
    <xf numFmtId="4" fontId="13" fillId="7" borderId="5" xfId="1" applyNumberFormat="1" applyFont="1" applyFill="1" applyBorder="1" applyAlignment="1">
      <alignment horizontal="center" vertical="center" wrapText="1"/>
    </xf>
    <xf numFmtId="4" fontId="11" fillId="7" borderId="5" xfId="1" applyNumberFormat="1" applyFont="1" applyFill="1" applyBorder="1" applyAlignment="1">
      <alignment horizontal="center" vertical="center" wrapText="1"/>
    </xf>
    <xf numFmtId="4" fontId="26" fillId="7" borderId="1" xfId="1" applyNumberFormat="1" applyFont="1" applyFill="1" applyBorder="1" applyAlignment="1">
      <alignment horizontal="center" vertical="center" wrapText="1"/>
    </xf>
    <xf numFmtId="4" fontId="25" fillId="7" borderId="1" xfId="2" applyNumberFormat="1" applyFont="1" applyFill="1" applyBorder="1" applyAlignment="1">
      <alignment horizontal="center" vertical="center" wrapText="1"/>
    </xf>
    <xf numFmtId="3" fontId="11" fillId="7" borderId="1" xfId="0" applyNumberFormat="1" applyFont="1" applyFill="1" applyBorder="1" applyAlignment="1">
      <alignment horizontal="center" vertical="center"/>
    </xf>
    <xf numFmtId="3" fontId="9" fillId="7" borderId="1" xfId="0" applyNumberFormat="1" applyFont="1" applyFill="1" applyBorder="1" applyAlignment="1">
      <alignment horizontal="center" vertical="center"/>
    </xf>
    <xf numFmtId="3" fontId="13" fillId="7" borderId="1" xfId="0" applyNumberFormat="1" applyFont="1" applyFill="1" applyBorder="1" applyAlignment="1">
      <alignment horizontal="center" vertical="center"/>
    </xf>
    <xf numFmtId="3" fontId="11" fillId="7" borderId="1" xfId="0" applyNumberFormat="1" applyFont="1" applyFill="1" applyBorder="1" applyAlignment="1" applyProtection="1">
      <alignment horizontal="center" vertical="center"/>
    </xf>
    <xf numFmtId="3" fontId="9" fillId="7" borderId="1" xfId="1" applyNumberFormat="1" applyFont="1" applyFill="1" applyBorder="1" applyAlignment="1">
      <alignment horizontal="center" vertical="center" wrapText="1"/>
    </xf>
    <xf numFmtId="3" fontId="13" fillId="7" borderId="1" xfId="1" applyNumberFormat="1" applyFont="1" applyFill="1" applyBorder="1" applyAlignment="1">
      <alignment horizontal="center" vertical="center" wrapText="1"/>
    </xf>
    <xf numFmtId="3" fontId="11" fillId="7" borderId="1" xfId="1" applyNumberFormat="1" applyFont="1" applyFill="1" applyBorder="1" applyAlignment="1">
      <alignment horizontal="center" vertical="center" wrapText="1"/>
    </xf>
    <xf numFmtId="3" fontId="11" fillId="7" borderId="1" xfId="2" applyNumberFormat="1" applyFont="1" applyFill="1" applyBorder="1" applyAlignment="1">
      <alignment horizontal="center" vertical="center" wrapText="1"/>
    </xf>
    <xf numFmtId="4" fontId="62" fillId="7" borderId="0" xfId="0" applyNumberFormat="1" applyFont="1" applyFill="1" applyBorder="1" applyAlignment="1">
      <alignment horizontal="center" vertical="center" wrapText="1"/>
    </xf>
    <xf numFmtId="4" fontId="11" fillId="7" borderId="1" xfId="0" applyNumberFormat="1" applyFont="1" applyFill="1" applyBorder="1" applyAlignment="1">
      <alignment horizontal="center" wrapText="1"/>
    </xf>
    <xf numFmtId="4" fontId="9" fillId="7" borderId="1" xfId="2" applyNumberFormat="1" applyFont="1" applyFill="1" applyBorder="1" applyAlignment="1">
      <alignment horizontal="center" vertical="center" wrapText="1"/>
    </xf>
    <xf numFmtId="4" fontId="26" fillId="7" borderId="1" xfId="1" applyNumberFormat="1" applyFont="1" applyFill="1" applyBorder="1" applyAlignment="1">
      <alignment horizontal="center" vertical="center"/>
    </xf>
    <xf numFmtId="4" fontId="13" fillId="7" borderId="4" xfId="1" applyNumberFormat="1" applyFont="1" applyFill="1" applyBorder="1" applyAlignment="1">
      <alignment horizontal="center" vertical="center"/>
    </xf>
    <xf numFmtId="4" fontId="11" fillId="7" borderId="4" xfId="1" applyNumberFormat="1" applyFont="1" applyFill="1" applyBorder="1" applyAlignment="1">
      <alignment horizontal="center" vertical="center"/>
    </xf>
    <xf numFmtId="4" fontId="11" fillId="7" borderId="1" xfId="1" applyNumberFormat="1" applyFont="1" applyFill="1" applyBorder="1" applyAlignment="1">
      <alignment horizontal="center" vertical="center"/>
    </xf>
    <xf numFmtId="4" fontId="26" fillId="7" borderId="0" xfId="0" applyNumberFormat="1" applyFont="1" applyFill="1" applyBorder="1" applyAlignment="1">
      <alignment horizontal="center" vertical="center" wrapText="1"/>
    </xf>
    <xf numFmtId="0" fontId="62" fillId="7" borderId="1" xfId="0" applyFont="1" applyFill="1" applyBorder="1" applyAlignment="1">
      <alignment horizontal="center" vertical="center" wrapText="1"/>
    </xf>
    <xf numFmtId="4" fontId="11" fillId="7" borderId="0" xfId="0" applyNumberFormat="1" applyFont="1" applyFill="1" applyBorder="1" applyAlignment="1">
      <alignment horizontal="center" vertical="center" wrapText="1"/>
    </xf>
    <xf numFmtId="0" fontId="64" fillId="7" borderId="0" xfId="0" applyFont="1" applyFill="1" applyBorder="1" applyAlignment="1">
      <alignment horizontal="center" vertical="center" wrapText="1"/>
    </xf>
    <xf numFmtId="4" fontId="64" fillId="7" borderId="0" xfId="0" applyNumberFormat="1" applyFont="1" applyFill="1" applyBorder="1" applyAlignment="1">
      <alignment horizontal="center" vertical="center" wrapText="1"/>
    </xf>
    <xf numFmtId="0" fontId="62" fillId="7" borderId="0" xfId="0" applyFont="1" applyFill="1" applyAlignment="1">
      <alignment horizontal="center" vertical="center" wrapText="1"/>
    </xf>
    <xf numFmtId="4" fontId="16" fillId="7" borderId="3" xfId="0" applyNumberFormat="1" applyFont="1" applyFill="1" applyBorder="1" applyAlignment="1">
      <alignment horizontal="left" vertical="center" wrapText="1"/>
    </xf>
    <xf numFmtId="4" fontId="43" fillId="7" borderId="6" xfId="0" applyNumberFormat="1" applyFont="1" applyFill="1" applyBorder="1" applyAlignment="1">
      <alignment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6" fillId="7" borderId="0" xfId="0" applyFont="1" applyFill="1" applyAlignment="1">
      <alignment horizontal="center"/>
    </xf>
    <xf numFmtId="0" fontId="16" fillId="7" borderId="0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 wrapText="1"/>
    </xf>
    <xf numFmtId="4" fontId="10" fillId="7" borderId="0" xfId="0" applyNumberFormat="1" applyFont="1" applyFill="1" applyAlignment="1">
      <alignment horizontal="center" wrapText="1"/>
    </xf>
    <xf numFmtId="0" fontId="0" fillId="7" borderId="2" xfId="0" applyFill="1" applyBorder="1" applyAlignment="1">
      <alignment horizontal="center" vertical="center" wrapText="1"/>
    </xf>
    <xf numFmtId="4" fontId="9" fillId="7" borderId="0" xfId="0" applyNumberFormat="1" applyFont="1" applyFill="1" applyBorder="1" applyAlignment="1">
      <alignment horizontal="center" wrapText="1"/>
    </xf>
    <xf numFmtId="0" fontId="55" fillId="7" borderId="0" xfId="0" applyFont="1" applyFill="1" applyAlignment="1">
      <alignment horizontal="center" wrapText="1"/>
    </xf>
    <xf numFmtId="0" fontId="0" fillId="7" borderId="1" xfId="0" applyFill="1" applyBorder="1" applyAlignment="1">
      <alignment horizontal="center" vertical="center" wrapText="1"/>
    </xf>
    <xf numFmtId="0" fontId="3" fillId="7" borderId="4" xfId="0" applyNumberFormat="1" applyFont="1" applyFill="1" applyBorder="1" applyAlignment="1" applyProtection="1">
      <alignment horizontal="center" vertical="center" wrapText="1"/>
    </xf>
    <xf numFmtId="0" fontId="3" fillId="7" borderId="2" xfId="0" applyNumberFormat="1" applyFont="1" applyFill="1" applyBorder="1" applyAlignment="1" applyProtection="1">
      <alignment horizontal="center" vertical="center" wrapText="1"/>
    </xf>
    <xf numFmtId="1" fontId="16" fillId="7" borderId="0" xfId="0" applyNumberFormat="1" applyFont="1" applyFill="1" applyBorder="1" applyAlignment="1">
      <alignment horizontal="center" wrapText="1"/>
    </xf>
    <xf numFmtId="0" fontId="2" fillId="7" borderId="0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center" wrapText="1"/>
    </xf>
    <xf numFmtId="4" fontId="10" fillId="7" borderId="3" xfId="0" applyNumberFormat="1" applyFont="1" applyFill="1" applyBorder="1" applyAlignment="1">
      <alignment horizontal="left" vertical="center" wrapText="1"/>
    </xf>
    <xf numFmtId="4" fontId="29" fillId="7" borderId="6" xfId="0" applyNumberFormat="1" applyFont="1" applyFill="1" applyBorder="1" applyAlignment="1">
      <alignment vertical="center" wrapText="1"/>
    </xf>
    <xf numFmtId="4" fontId="10" fillId="7" borderId="1" xfId="0" applyNumberFormat="1" applyFont="1" applyFill="1" applyBorder="1" applyAlignment="1">
      <alignment horizontal="left" vertical="center" wrapText="1"/>
    </xf>
    <xf numFmtId="4" fontId="29" fillId="7" borderId="1" xfId="0" applyNumberFormat="1" applyFont="1" applyFill="1" applyBorder="1" applyAlignment="1">
      <alignment vertical="center" wrapText="1"/>
    </xf>
    <xf numFmtId="0" fontId="45" fillId="7" borderId="0" xfId="0" applyFont="1" applyFill="1" applyAlignment="1">
      <alignment horizontal="center"/>
    </xf>
    <xf numFmtId="4" fontId="16" fillId="7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0" fillId="7" borderId="0" xfId="0" applyFont="1" applyFill="1" applyBorder="1" applyAlignment="1">
      <alignment horizontal="center" wrapText="1"/>
    </xf>
    <xf numFmtId="0" fontId="10" fillId="7" borderId="0" xfId="0" applyFont="1" applyFill="1" applyBorder="1" applyAlignment="1">
      <alignment horizontal="center" vertical="center" wrapText="1"/>
    </xf>
    <xf numFmtId="4" fontId="24" fillId="7" borderId="1" xfId="0" applyNumberFormat="1" applyFont="1" applyFill="1" applyBorder="1" applyAlignment="1">
      <alignment vertical="center" wrapText="1"/>
    </xf>
    <xf numFmtId="0" fontId="10" fillId="7" borderId="0" xfId="0" applyFont="1" applyFill="1" applyAlignment="1">
      <alignment horizontal="left"/>
    </xf>
    <xf numFmtId="0" fontId="0" fillId="7" borderId="0" xfId="0" applyFill="1" applyAlignment="1">
      <alignment horizontal="left"/>
    </xf>
    <xf numFmtId="164" fontId="12" fillId="2" borderId="4" xfId="0" applyNumberFormat="1" applyFont="1" applyFill="1" applyBorder="1" applyAlignment="1">
      <alignment horizontal="center" vertical="center" wrapText="1"/>
    </xf>
    <xf numFmtId="164" fontId="0" fillId="2" borderId="2" xfId="0" applyNumberFormat="1" applyFill="1" applyBorder="1" applyAlignment="1">
      <alignment horizontal="center" vertical="center" wrapText="1"/>
    </xf>
    <xf numFmtId="0" fontId="10" fillId="7" borderId="0" xfId="0" applyFont="1" applyFill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4" fontId="0" fillId="7" borderId="0" xfId="0" applyNumberFormat="1" applyFill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59" fillId="7" borderId="0" xfId="0" applyFont="1" applyFill="1" applyAlignment="1">
      <alignment horizontal="center" vertical="center" wrapText="1"/>
    </xf>
    <xf numFmtId="0" fontId="59" fillId="0" borderId="0" xfId="0" applyFont="1" applyAlignment="1">
      <alignment horizontal="center" wrapText="1"/>
    </xf>
    <xf numFmtId="0" fontId="60" fillId="7" borderId="0" xfId="0" applyFont="1" applyFill="1" applyAlignment="1">
      <alignment horizontal="center" vertical="center" wrapText="1"/>
    </xf>
    <xf numFmtId="0" fontId="60" fillId="0" borderId="0" xfId="0" applyFont="1" applyAlignment="1">
      <alignment wrapText="1"/>
    </xf>
    <xf numFmtId="0" fontId="26" fillId="7" borderId="0" xfId="0" applyFont="1" applyFill="1" applyBorder="1" applyAlignment="1">
      <alignment horizontal="center" wrapText="1"/>
    </xf>
    <xf numFmtId="0" fontId="8" fillId="7" borderId="1" xfId="0" applyFont="1" applyFill="1" applyBorder="1" applyAlignment="1">
      <alignment horizontal="center" vertical="center" wrapText="1"/>
    </xf>
    <xf numFmtId="0" fontId="3" fillId="7" borderId="1" xfId="0" applyNumberFormat="1" applyFont="1" applyFill="1" applyBorder="1" applyAlignment="1" applyProtection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4" fontId="59" fillId="7" borderId="0" xfId="0" applyNumberFormat="1" applyFont="1" applyFill="1" applyAlignment="1">
      <alignment horizontal="center" vertical="center" wrapText="1"/>
    </xf>
    <xf numFmtId="0" fontId="16" fillId="7" borderId="0" xfId="0" applyFont="1" applyFill="1" applyBorder="1" applyAlignment="1">
      <alignment horizontal="left"/>
    </xf>
    <xf numFmtId="0" fontId="0" fillId="0" borderId="0" xfId="0" applyAlignment="1"/>
  </cellXfs>
  <cellStyles count="4">
    <cellStyle name="Звичайний_Додаток _ 3 зм_ни 4575" xfId="1"/>
    <cellStyle name="Обычный" xfId="0" builtinId="0"/>
    <cellStyle name="Обычный 2" xfId="2"/>
    <cellStyle name="Обычный 2 2" xfId="3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5"/>
  </sheetPr>
  <dimension ref="A1:J1604"/>
  <sheetViews>
    <sheetView tabSelected="1" view="pageBreakPreview" topLeftCell="A1089" zoomScale="98" zoomScaleNormal="100" zoomScaleSheetLayoutView="98" workbookViewId="0">
      <selection activeCell="G1099" sqref="G1099"/>
    </sheetView>
  </sheetViews>
  <sheetFormatPr defaultRowHeight="15" x14ac:dyDescent="0.25"/>
  <cols>
    <col min="1" max="1" width="12.7109375" style="288" customWidth="1"/>
    <col min="2" max="2" width="12.85546875" style="288" customWidth="1"/>
    <col min="3" max="3" width="10.5703125" style="343" customWidth="1"/>
    <col min="4" max="4" width="61.28515625" style="288" customWidth="1"/>
    <col min="5" max="5" width="21.42578125" style="288" customWidth="1"/>
    <col min="6" max="6" width="21.85546875" style="388" customWidth="1"/>
    <col min="7" max="7" width="21.42578125" style="344" customWidth="1"/>
    <col min="8" max="8" width="23.7109375" style="323" customWidth="1"/>
  </cols>
  <sheetData>
    <row r="1" spans="1:8" ht="24" customHeight="1" x14ac:dyDescent="0.25">
      <c r="A1" s="72"/>
      <c r="B1" s="72"/>
      <c r="C1" s="73"/>
      <c r="D1" s="72"/>
      <c r="E1" s="72"/>
      <c r="F1" s="349"/>
      <c r="G1" s="74"/>
      <c r="H1" s="75"/>
    </row>
    <row r="2" spans="1:8" ht="14.25" customHeight="1" x14ac:dyDescent="0.25">
      <c r="A2" s="72"/>
      <c r="B2" s="72"/>
      <c r="C2" s="73"/>
      <c r="D2" s="72"/>
      <c r="E2" s="72"/>
      <c r="F2" s="349"/>
      <c r="G2" s="74"/>
      <c r="H2" s="75"/>
    </row>
    <row r="3" spans="1:8" ht="14.25" customHeight="1" x14ac:dyDescent="0.25">
      <c r="A3" s="72"/>
      <c r="B3" s="72"/>
      <c r="C3" s="73"/>
      <c r="D3" s="72"/>
      <c r="E3" s="72"/>
      <c r="F3" s="349"/>
      <c r="G3" s="74"/>
      <c r="H3" s="75"/>
    </row>
    <row r="4" spans="1:8" ht="18.75" customHeight="1" x14ac:dyDescent="0.3">
      <c r="A4" s="76"/>
      <c r="B4" s="76"/>
      <c r="C4" s="415" t="s">
        <v>303</v>
      </c>
      <c r="D4" s="415"/>
      <c r="E4" s="415"/>
      <c r="F4" s="415"/>
      <c r="G4" s="415"/>
      <c r="H4" s="77"/>
    </row>
    <row r="5" spans="1:8" ht="18.75" customHeight="1" x14ac:dyDescent="0.25">
      <c r="A5" s="416" t="s">
        <v>250</v>
      </c>
      <c r="B5" s="416"/>
      <c r="C5" s="416"/>
      <c r="D5" s="416"/>
      <c r="E5" s="416"/>
      <c r="F5" s="416"/>
      <c r="G5" s="416"/>
      <c r="H5" s="416"/>
    </row>
    <row r="6" spans="1:8" ht="18" customHeight="1" x14ac:dyDescent="0.3">
      <c r="A6" s="76"/>
      <c r="B6" s="76"/>
      <c r="C6" s="418" t="s">
        <v>304</v>
      </c>
      <c r="D6" s="419"/>
      <c r="E6" s="419"/>
      <c r="F6" s="419"/>
      <c r="G6" s="419"/>
      <c r="H6" s="76"/>
    </row>
    <row r="7" spans="1:8" ht="18" customHeight="1" x14ac:dyDescent="0.25">
      <c r="A7" s="72"/>
      <c r="B7" s="72"/>
      <c r="C7" s="73"/>
      <c r="D7" s="78"/>
      <c r="E7" s="79"/>
      <c r="F7" s="350"/>
      <c r="G7" s="80"/>
      <c r="H7" s="81"/>
    </row>
    <row r="8" spans="1:8" ht="147" customHeight="1" x14ac:dyDescent="0.25">
      <c r="A8" s="406" t="s">
        <v>239</v>
      </c>
      <c r="B8" s="395" t="s">
        <v>240</v>
      </c>
      <c r="C8" s="402" t="s">
        <v>322</v>
      </c>
      <c r="D8" s="391" t="s">
        <v>238</v>
      </c>
      <c r="E8" s="395" t="s">
        <v>305</v>
      </c>
      <c r="F8" s="391" t="s">
        <v>306</v>
      </c>
      <c r="G8" s="394" t="s">
        <v>507</v>
      </c>
      <c r="H8" s="420" t="s">
        <v>508</v>
      </c>
    </row>
    <row r="9" spans="1:8" ht="99.75" customHeight="1" x14ac:dyDescent="0.25">
      <c r="A9" s="398"/>
      <c r="B9" s="398"/>
      <c r="C9" s="403"/>
      <c r="D9" s="391"/>
      <c r="E9" s="396"/>
      <c r="F9" s="391"/>
      <c r="G9" s="394"/>
      <c r="H9" s="421"/>
    </row>
    <row r="10" spans="1:8" s="1" customFormat="1" ht="33" customHeight="1" x14ac:dyDescent="0.25">
      <c r="A10" s="57" t="s">
        <v>257</v>
      </c>
      <c r="B10" s="82"/>
      <c r="C10" s="82"/>
      <c r="D10" s="83" t="s">
        <v>237</v>
      </c>
      <c r="E10" s="84">
        <f>E11+E54+E78+E106+E116+E133+E147+E164+E168+E176+E192+E196</f>
        <v>31376871</v>
      </c>
      <c r="F10" s="351">
        <f>F11+F54+F68+F78+F106+F116+F133+F147+F164+F168+F176+F192+F196+F71+F181+F188+F111</f>
        <v>18611644</v>
      </c>
      <c r="G10" s="84">
        <f>G11+G54+G68+G78+G106+G116+G133+G147+G164+G168+G176+G192+G196+G71+G181+G188+G111</f>
        <v>13163339.939999999</v>
      </c>
      <c r="H10" s="85">
        <f>G10/F10*100</f>
        <v>70.726368610962041</v>
      </c>
    </row>
    <row r="11" spans="1:8" s="1" customFormat="1" ht="33.75" customHeight="1" x14ac:dyDescent="0.25">
      <c r="A11" s="27" t="s">
        <v>258</v>
      </c>
      <c r="B11" s="41" t="s">
        <v>259</v>
      </c>
      <c r="C11" s="86"/>
      <c r="D11" s="87"/>
      <c r="E11" s="88">
        <f t="shared" ref="E11:G11" si="0">E12+E20+E25+E28+E50</f>
        <v>5875520</v>
      </c>
      <c r="F11" s="352">
        <f>F12+F20+F25+F28+F50</f>
        <v>5439624</v>
      </c>
      <c r="G11" s="88">
        <f t="shared" si="0"/>
        <v>2968958.8499999996</v>
      </c>
      <c r="H11" s="85">
        <f t="shared" ref="H11:H73" si="1">G11/F11*100</f>
        <v>54.580221905043423</v>
      </c>
    </row>
    <row r="12" spans="1:8" s="1" customFormat="1" ht="33.75" customHeight="1" x14ac:dyDescent="0.25">
      <c r="A12" s="27"/>
      <c r="B12" s="41"/>
      <c r="C12" s="41"/>
      <c r="D12" s="89" t="s">
        <v>252</v>
      </c>
      <c r="E12" s="90">
        <f t="shared" ref="E12:G12" si="2">SUM(E13:E17)</f>
        <v>0</v>
      </c>
      <c r="F12" s="353">
        <f t="shared" si="2"/>
        <v>141695</v>
      </c>
      <c r="G12" s="90">
        <f t="shared" si="2"/>
        <v>0</v>
      </c>
      <c r="H12" s="85">
        <f t="shared" si="1"/>
        <v>0</v>
      </c>
    </row>
    <row r="13" spans="1:8" s="1" customFormat="1" ht="24.75" customHeight="1" x14ac:dyDescent="0.25">
      <c r="A13" s="91"/>
      <c r="B13" s="92"/>
      <c r="C13" s="92"/>
      <c r="D13" s="35" t="s">
        <v>452</v>
      </c>
      <c r="E13" s="31"/>
      <c r="F13" s="195">
        <f>141695</f>
        <v>141695</v>
      </c>
      <c r="G13" s="34"/>
      <c r="H13" s="85">
        <f t="shared" si="1"/>
        <v>0</v>
      </c>
    </row>
    <row r="14" spans="1:8" s="1" customFormat="1" ht="30.75" hidden="1" customHeight="1" x14ac:dyDescent="0.25">
      <c r="A14" s="91"/>
      <c r="B14" s="92"/>
      <c r="C14" s="92"/>
      <c r="D14" s="48"/>
      <c r="E14" s="31"/>
      <c r="F14" s="195"/>
      <c r="G14" s="34"/>
      <c r="H14" s="85" t="e">
        <f t="shared" si="1"/>
        <v>#DIV/0!</v>
      </c>
    </row>
    <row r="15" spans="1:8" s="1" customFormat="1" ht="30.75" hidden="1" customHeight="1" x14ac:dyDescent="0.25">
      <c r="A15" s="91"/>
      <c r="B15" s="92"/>
      <c r="C15" s="92"/>
      <c r="D15" s="48"/>
      <c r="E15" s="31"/>
      <c r="F15" s="195"/>
      <c r="G15" s="34"/>
      <c r="H15" s="85" t="e">
        <f t="shared" si="1"/>
        <v>#DIV/0!</v>
      </c>
    </row>
    <row r="16" spans="1:8" s="1" customFormat="1" ht="30.75" hidden="1" customHeight="1" x14ac:dyDescent="0.25">
      <c r="A16" s="91"/>
      <c r="B16" s="92"/>
      <c r="C16" s="92"/>
      <c r="D16" s="48"/>
      <c r="E16" s="31"/>
      <c r="F16" s="195"/>
      <c r="G16" s="34"/>
      <c r="H16" s="85" t="e">
        <f t="shared" si="1"/>
        <v>#DIV/0!</v>
      </c>
    </row>
    <row r="17" spans="1:8" s="1" customFormat="1" ht="61.5" hidden="1" customHeight="1" x14ac:dyDescent="0.25">
      <c r="A17" s="91"/>
      <c r="B17" s="92"/>
      <c r="C17" s="92"/>
      <c r="D17" s="93"/>
      <c r="E17" s="31"/>
      <c r="F17" s="140">
        <f>SUM(F18)</f>
        <v>0</v>
      </c>
      <c r="G17" s="32">
        <f>SUM(G18)</f>
        <v>0</v>
      </c>
      <c r="H17" s="85" t="e">
        <f t="shared" si="1"/>
        <v>#DIV/0!</v>
      </c>
    </row>
    <row r="18" spans="1:8" s="1" customFormat="1" ht="38.25" hidden="1" customHeight="1" x14ac:dyDescent="0.25">
      <c r="A18" s="91"/>
      <c r="B18" s="92"/>
      <c r="C18" s="92"/>
      <c r="D18" s="44"/>
      <c r="E18" s="31"/>
      <c r="F18" s="195"/>
      <c r="G18" s="34"/>
      <c r="H18" s="85" t="e">
        <f t="shared" si="1"/>
        <v>#DIV/0!</v>
      </c>
    </row>
    <row r="19" spans="1:8" s="1" customFormat="1" ht="24.75" hidden="1" customHeight="1" x14ac:dyDescent="0.25">
      <c r="A19" s="91"/>
      <c r="B19" s="92"/>
      <c r="C19" s="92"/>
      <c r="D19" s="48"/>
      <c r="E19" s="31"/>
      <c r="F19" s="195"/>
      <c r="G19" s="34"/>
      <c r="H19" s="85" t="e">
        <f t="shared" si="1"/>
        <v>#DIV/0!</v>
      </c>
    </row>
    <row r="20" spans="1:8" s="1" customFormat="1" ht="33" hidden="1" customHeight="1" x14ac:dyDescent="0.25">
      <c r="A20" s="27"/>
      <c r="B20" s="41"/>
      <c r="C20" s="41"/>
      <c r="D20" s="89" t="s">
        <v>290</v>
      </c>
      <c r="E20" s="90">
        <f t="shared" ref="E20:G20" si="3">SUM(E21:E23)</f>
        <v>0</v>
      </c>
      <c r="F20" s="353">
        <f>SUM(F21:F23)</f>
        <v>0</v>
      </c>
      <c r="G20" s="90">
        <f t="shared" si="3"/>
        <v>0</v>
      </c>
      <c r="H20" s="85" t="e">
        <f t="shared" si="1"/>
        <v>#DIV/0!</v>
      </c>
    </row>
    <row r="21" spans="1:8" s="1" customFormat="1" ht="28.5" hidden="1" customHeight="1" x14ac:dyDescent="0.25">
      <c r="A21" s="91"/>
      <c r="B21" s="92"/>
      <c r="C21" s="92"/>
      <c r="D21" s="94"/>
      <c r="E21" s="95"/>
      <c r="F21" s="195"/>
      <c r="G21" s="34"/>
      <c r="H21" s="85" t="e">
        <f t="shared" si="1"/>
        <v>#DIV/0!</v>
      </c>
    </row>
    <row r="22" spans="1:8" s="1" customFormat="1" ht="36" hidden="1" customHeight="1" x14ac:dyDescent="0.25">
      <c r="A22" s="91"/>
      <c r="B22" s="92"/>
      <c r="C22" s="92"/>
      <c r="D22" s="96"/>
      <c r="E22" s="95"/>
      <c r="F22" s="195"/>
      <c r="G22" s="34"/>
      <c r="H22" s="85" t="e">
        <f t="shared" si="1"/>
        <v>#DIV/0!</v>
      </c>
    </row>
    <row r="23" spans="1:8" s="1" customFormat="1" ht="36" hidden="1" customHeight="1" x14ac:dyDescent="0.25">
      <c r="A23" s="91"/>
      <c r="B23" s="92"/>
      <c r="C23" s="92"/>
      <c r="D23" s="96"/>
      <c r="E23" s="95"/>
      <c r="F23" s="195"/>
      <c r="G23" s="34"/>
      <c r="H23" s="85" t="e">
        <f t="shared" si="1"/>
        <v>#DIV/0!</v>
      </c>
    </row>
    <row r="24" spans="1:8" s="1" customFormat="1" ht="28.5" hidden="1" customHeight="1" x14ac:dyDescent="0.25">
      <c r="A24" s="91"/>
      <c r="B24" s="92"/>
      <c r="C24" s="92"/>
      <c r="D24" s="97"/>
      <c r="E24" s="34"/>
      <c r="F24" s="195"/>
      <c r="G24" s="34"/>
      <c r="H24" s="85" t="e">
        <f t="shared" si="1"/>
        <v>#DIV/0!</v>
      </c>
    </row>
    <row r="25" spans="1:8" s="1" customFormat="1" ht="35.25" hidden="1" customHeight="1" x14ac:dyDescent="0.25">
      <c r="A25" s="91"/>
      <c r="B25" s="92"/>
      <c r="C25" s="92"/>
      <c r="D25" s="89" t="s">
        <v>266</v>
      </c>
      <c r="E25" s="32">
        <f t="shared" ref="E25:G25" si="4">E26</f>
        <v>0</v>
      </c>
      <c r="F25" s="140">
        <f t="shared" si="4"/>
        <v>0</v>
      </c>
      <c r="G25" s="32">
        <f t="shared" si="4"/>
        <v>0</v>
      </c>
      <c r="H25" s="85" t="e">
        <f t="shared" si="1"/>
        <v>#DIV/0!</v>
      </c>
    </row>
    <row r="26" spans="1:8" s="1" customFormat="1" ht="24.75" hidden="1" customHeight="1" x14ac:dyDescent="0.25">
      <c r="A26" s="91"/>
      <c r="B26" s="92"/>
      <c r="C26" s="92"/>
      <c r="D26" s="48"/>
      <c r="E26" s="95"/>
      <c r="F26" s="195"/>
      <c r="G26" s="34"/>
      <c r="H26" s="85" t="e">
        <f t="shared" si="1"/>
        <v>#DIV/0!</v>
      </c>
    </row>
    <row r="27" spans="1:8" s="1" customFormat="1" ht="20.25" customHeight="1" x14ac:dyDescent="0.25">
      <c r="A27" s="91"/>
      <c r="B27" s="92"/>
      <c r="C27" s="92"/>
      <c r="D27" s="98"/>
      <c r="E27" s="34"/>
      <c r="F27" s="195"/>
      <c r="G27" s="34"/>
      <c r="H27" s="85"/>
    </row>
    <row r="28" spans="1:8" s="17" customFormat="1" ht="34.5" customHeight="1" x14ac:dyDescent="0.25">
      <c r="A28" s="91"/>
      <c r="B28" s="92"/>
      <c r="C28" s="92"/>
      <c r="D28" s="99" t="s">
        <v>253</v>
      </c>
      <c r="E28" s="100">
        <f t="shared" ref="E28:G28" si="5">SUM(E29:E49)</f>
        <v>5875520</v>
      </c>
      <c r="F28" s="354">
        <f>SUM(F29:F49)</f>
        <v>5237929</v>
      </c>
      <c r="G28" s="100">
        <f t="shared" si="5"/>
        <v>2919958.8499999996</v>
      </c>
      <c r="H28" s="85">
        <f t="shared" si="1"/>
        <v>55.746438143777809</v>
      </c>
    </row>
    <row r="29" spans="1:8" s="1" customFormat="1" ht="38.25" customHeight="1" x14ac:dyDescent="0.25">
      <c r="A29" s="91"/>
      <c r="B29" s="92"/>
      <c r="C29" s="92"/>
      <c r="D29" s="44" t="s">
        <v>364</v>
      </c>
      <c r="E29" s="101">
        <v>1461262</v>
      </c>
      <c r="F29" s="126">
        <f>1461262-1461262</f>
        <v>0</v>
      </c>
      <c r="G29" s="34"/>
      <c r="H29" s="85"/>
    </row>
    <row r="30" spans="1:8" s="1" customFormat="1" ht="38.25" customHeight="1" x14ac:dyDescent="0.25">
      <c r="A30" s="91"/>
      <c r="B30" s="92"/>
      <c r="C30" s="92"/>
      <c r="D30" s="44" t="s">
        <v>365</v>
      </c>
      <c r="E30" s="101">
        <v>298000</v>
      </c>
      <c r="F30" s="126">
        <f>298000-298000</f>
        <v>0</v>
      </c>
      <c r="G30" s="34"/>
      <c r="H30" s="85"/>
    </row>
    <row r="31" spans="1:8" s="1" customFormat="1" ht="37.5" customHeight="1" x14ac:dyDescent="0.25">
      <c r="A31" s="91"/>
      <c r="B31" s="92"/>
      <c r="C31" s="92"/>
      <c r="D31" s="44" t="s">
        <v>366</v>
      </c>
      <c r="E31" s="101">
        <v>300000</v>
      </c>
      <c r="F31" s="126">
        <f>300000+450500-5751</f>
        <v>744749</v>
      </c>
      <c r="G31" s="34">
        <f>15997.5+83127.52+15842+73360.58</f>
        <v>188327.6</v>
      </c>
      <c r="H31" s="85">
        <f t="shared" si="1"/>
        <v>25.287392128086104</v>
      </c>
    </row>
    <row r="32" spans="1:8" s="1" customFormat="1" ht="50.25" customHeight="1" x14ac:dyDescent="0.25">
      <c r="A32" s="91"/>
      <c r="B32" s="92"/>
      <c r="C32" s="92"/>
      <c r="D32" s="44" t="s">
        <v>194</v>
      </c>
      <c r="E32" s="101"/>
      <c r="F32" s="126">
        <f>400000-345029-54971</f>
        <v>0</v>
      </c>
      <c r="G32" s="34"/>
      <c r="H32" s="85"/>
    </row>
    <row r="33" spans="1:8" s="1" customFormat="1" ht="50.25" customHeight="1" x14ac:dyDescent="0.25">
      <c r="A33" s="91"/>
      <c r="B33" s="92"/>
      <c r="C33" s="92"/>
      <c r="D33" s="44" t="s">
        <v>209</v>
      </c>
      <c r="E33" s="101"/>
      <c r="F33" s="126">
        <f>54971-54971</f>
        <v>0</v>
      </c>
      <c r="G33" s="34"/>
      <c r="H33" s="85"/>
    </row>
    <row r="34" spans="1:8" s="1" customFormat="1" ht="45.75" customHeight="1" x14ac:dyDescent="0.25">
      <c r="A34" s="91"/>
      <c r="B34" s="92"/>
      <c r="C34" s="92"/>
      <c r="D34" s="44" t="s">
        <v>220</v>
      </c>
      <c r="E34" s="101"/>
      <c r="F34" s="126">
        <v>0</v>
      </c>
      <c r="G34" s="34">
        <v>0</v>
      </c>
      <c r="H34" s="85"/>
    </row>
    <row r="35" spans="1:8" s="1" customFormat="1" ht="45.75" customHeight="1" x14ac:dyDescent="0.25">
      <c r="A35" s="91"/>
      <c r="B35" s="92"/>
      <c r="C35" s="92"/>
      <c r="D35" s="44" t="s">
        <v>386</v>
      </c>
      <c r="E35" s="101"/>
      <c r="F35" s="126">
        <f>500000-450500</f>
        <v>49500</v>
      </c>
      <c r="G35" s="34">
        <v>49475.76</v>
      </c>
      <c r="H35" s="85">
        <f t="shared" si="1"/>
        <v>99.951030303030308</v>
      </c>
    </row>
    <row r="36" spans="1:8" s="1" customFormat="1" ht="45.75" customHeight="1" x14ac:dyDescent="0.25">
      <c r="A36" s="91"/>
      <c r="B36" s="92"/>
      <c r="C36" s="92"/>
      <c r="D36" s="44" t="s">
        <v>221</v>
      </c>
      <c r="E36" s="101"/>
      <c r="F36" s="126">
        <v>0</v>
      </c>
      <c r="G36" s="34"/>
      <c r="H36" s="85"/>
    </row>
    <row r="37" spans="1:8" s="1" customFormat="1" ht="45.75" customHeight="1" x14ac:dyDescent="0.25">
      <c r="A37" s="91"/>
      <c r="B37" s="92"/>
      <c r="C37" s="92"/>
      <c r="D37" s="44" t="s">
        <v>387</v>
      </c>
      <c r="E37" s="101"/>
      <c r="F37" s="126">
        <v>300000</v>
      </c>
      <c r="G37" s="34"/>
      <c r="H37" s="85">
        <f t="shared" si="1"/>
        <v>0</v>
      </c>
    </row>
    <row r="38" spans="1:8" s="1" customFormat="1" ht="48.75" customHeight="1" x14ac:dyDescent="0.25">
      <c r="A38" s="91"/>
      <c r="B38" s="92"/>
      <c r="C38" s="92"/>
      <c r="D38" s="44" t="s">
        <v>367</v>
      </c>
      <c r="E38" s="101">
        <v>860000</v>
      </c>
      <c r="F38" s="126">
        <f>860000-242405</f>
        <v>617595</v>
      </c>
      <c r="G38" s="34">
        <f>443868+163892.4+2037.09</f>
        <v>609797.49</v>
      </c>
      <c r="H38" s="85">
        <f t="shared" si="1"/>
        <v>98.737439584193524</v>
      </c>
    </row>
    <row r="39" spans="1:8" s="1" customFormat="1" ht="37.5" customHeight="1" x14ac:dyDescent="0.25">
      <c r="A39" s="91"/>
      <c r="B39" s="92"/>
      <c r="C39" s="92"/>
      <c r="D39" s="44" t="s">
        <v>368</v>
      </c>
      <c r="E39" s="101">
        <v>500000</v>
      </c>
      <c r="F39" s="126">
        <f>500000+140085</f>
        <v>640085</v>
      </c>
      <c r="G39" s="34">
        <f>24351.16+56346.06+705.28+1036</f>
        <v>82438.5</v>
      </c>
      <c r="H39" s="85">
        <f t="shared" si="1"/>
        <v>12.879305092292432</v>
      </c>
    </row>
    <row r="40" spans="1:8" s="1" customFormat="1" ht="37.5" customHeight="1" x14ac:dyDescent="0.25">
      <c r="A40" s="91"/>
      <c r="B40" s="92"/>
      <c r="C40" s="92"/>
      <c r="D40" s="44" t="s">
        <v>369</v>
      </c>
      <c r="E40" s="101">
        <v>36258</v>
      </c>
      <c r="F40" s="126">
        <f>36258-36258</f>
        <v>0</v>
      </c>
      <c r="G40" s="34"/>
      <c r="H40" s="85"/>
    </row>
    <row r="41" spans="1:8" s="1" customFormat="1" ht="37.5" customHeight="1" x14ac:dyDescent="0.25">
      <c r="A41" s="91"/>
      <c r="B41" s="92"/>
      <c r="C41" s="92"/>
      <c r="D41" s="35" t="s">
        <v>370</v>
      </c>
      <c r="E41" s="101">
        <v>800000</v>
      </c>
      <c r="F41" s="126">
        <f>800000-270000+350000</f>
        <v>880000</v>
      </c>
      <c r="G41" s="34">
        <f>5556+18473+3994+8901.36+491684</f>
        <v>528608.36</v>
      </c>
      <c r="H41" s="85">
        <f t="shared" si="1"/>
        <v>60.069131818181823</v>
      </c>
    </row>
    <row r="42" spans="1:8" s="1" customFormat="1" ht="48" customHeight="1" x14ac:dyDescent="0.25">
      <c r="A42" s="91"/>
      <c r="B42" s="92"/>
      <c r="C42" s="92"/>
      <c r="D42" s="44" t="s">
        <v>371</v>
      </c>
      <c r="E42" s="101">
        <v>210000</v>
      </c>
      <c r="F42" s="126">
        <f>210000</f>
        <v>210000</v>
      </c>
      <c r="G42" s="34">
        <f>4263.16+202191+3332.64</f>
        <v>209786.80000000002</v>
      </c>
      <c r="H42" s="85">
        <f t="shared" si="1"/>
        <v>99.898476190476202</v>
      </c>
    </row>
    <row r="43" spans="1:8" s="1" customFormat="1" ht="56.25" customHeight="1" x14ac:dyDescent="0.25">
      <c r="A43" s="91"/>
      <c r="B43" s="92"/>
      <c r="C43" s="92"/>
      <c r="D43" s="44" t="s">
        <v>372</v>
      </c>
      <c r="E43" s="101">
        <v>200000</v>
      </c>
      <c r="F43" s="126">
        <f>200000-200000</f>
        <v>0</v>
      </c>
      <c r="G43" s="34"/>
      <c r="H43" s="85"/>
    </row>
    <row r="44" spans="1:8" s="1" customFormat="1" ht="56.25" customHeight="1" x14ac:dyDescent="0.25">
      <c r="A44" s="91"/>
      <c r="B44" s="92"/>
      <c r="C44" s="92"/>
      <c r="D44" s="47" t="s">
        <v>166</v>
      </c>
      <c r="E44" s="101"/>
      <c r="F44" s="126">
        <f>200000+30000</f>
        <v>230000</v>
      </c>
      <c r="G44" s="34">
        <f>6087.79+1428.65</f>
        <v>7516.4400000000005</v>
      </c>
      <c r="H44" s="85">
        <f t="shared" si="1"/>
        <v>3.268017391304348</v>
      </c>
    </row>
    <row r="45" spans="1:8" s="1" customFormat="1" ht="46.5" customHeight="1" x14ac:dyDescent="0.25">
      <c r="A45" s="91"/>
      <c r="B45" s="92"/>
      <c r="C45" s="92"/>
      <c r="D45" s="44" t="s">
        <v>373</v>
      </c>
      <c r="E45" s="101">
        <v>210000</v>
      </c>
      <c r="F45" s="126">
        <f>210000</f>
        <v>210000</v>
      </c>
      <c r="G45" s="34">
        <f>199499+2505.26</f>
        <v>202004.26</v>
      </c>
      <c r="H45" s="85">
        <f t="shared" si="1"/>
        <v>96.192504761904758</v>
      </c>
    </row>
    <row r="46" spans="1:8" s="1" customFormat="1" ht="44.25" customHeight="1" x14ac:dyDescent="0.25">
      <c r="A46" s="91"/>
      <c r="B46" s="92"/>
      <c r="C46" s="92"/>
      <c r="D46" s="44" t="s">
        <v>374</v>
      </c>
      <c r="E46" s="101">
        <v>600000</v>
      </c>
      <c r="F46" s="126">
        <f>600000</f>
        <v>600000</v>
      </c>
      <c r="G46" s="34">
        <f>5556+18473+3994+563000+7301.55</f>
        <v>598324.55000000005</v>
      </c>
      <c r="H46" s="85">
        <f t="shared" si="1"/>
        <v>99.720758333333336</v>
      </c>
    </row>
    <row r="47" spans="1:8" s="1" customFormat="1" ht="46.5" customHeight="1" x14ac:dyDescent="0.25">
      <c r="A47" s="91"/>
      <c r="B47" s="92"/>
      <c r="C47" s="92"/>
      <c r="D47" s="44" t="s">
        <v>375</v>
      </c>
      <c r="E47" s="101">
        <v>400000</v>
      </c>
      <c r="F47" s="126">
        <f>400000+300000</f>
        <v>700000</v>
      </c>
      <c r="G47" s="34">
        <f>29071+356078.17+5118.92</f>
        <v>390268.08999999997</v>
      </c>
      <c r="H47" s="85">
        <f t="shared" si="1"/>
        <v>55.752584285714278</v>
      </c>
    </row>
    <row r="48" spans="1:8" s="1" customFormat="1" ht="46.5" customHeight="1" x14ac:dyDescent="0.25">
      <c r="A48" s="91"/>
      <c r="B48" s="92"/>
      <c r="C48" s="92"/>
      <c r="D48" s="44" t="s">
        <v>388</v>
      </c>
      <c r="E48" s="101"/>
      <c r="F48" s="126">
        <f>50000+6000</f>
        <v>56000</v>
      </c>
      <c r="G48" s="34">
        <f>49900+2835+676</f>
        <v>53411</v>
      </c>
      <c r="H48" s="85">
        <f t="shared" si="1"/>
        <v>95.376785714285717</v>
      </c>
    </row>
    <row r="49" spans="1:8" s="18" customFormat="1" ht="19.5" customHeight="1" x14ac:dyDescent="0.25">
      <c r="A49" s="102"/>
      <c r="B49" s="103"/>
      <c r="C49" s="103"/>
      <c r="D49" s="30"/>
      <c r="E49" s="34"/>
      <c r="F49" s="195"/>
      <c r="G49" s="34"/>
      <c r="H49" s="85"/>
    </row>
    <row r="50" spans="1:8" s="24" customFormat="1" ht="37.5" customHeight="1" x14ac:dyDescent="0.25">
      <c r="A50" s="104"/>
      <c r="B50" s="105"/>
      <c r="C50" s="105"/>
      <c r="D50" s="99" t="s">
        <v>264</v>
      </c>
      <c r="E50" s="33">
        <f t="shared" ref="E50:G50" si="6">SUM(E51:E52)</f>
        <v>0</v>
      </c>
      <c r="F50" s="120">
        <f t="shared" si="6"/>
        <v>60000</v>
      </c>
      <c r="G50" s="33">
        <f t="shared" si="6"/>
        <v>49000</v>
      </c>
      <c r="H50" s="85">
        <f t="shared" si="1"/>
        <v>81.666666666666671</v>
      </c>
    </row>
    <row r="51" spans="1:8" s="18" customFormat="1" ht="35.25" customHeight="1" x14ac:dyDescent="0.25">
      <c r="A51" s="102"/>
      <c r="B51" s="103"/>
      <c r="C51" s="103"/>
      <c r="D51" s="45" t="s">
        <v>222</v>
      </c>
      <c r="E51" s="95"/>
      <c r="F51" s="195">
        <f>100000-40000-60000</f>
        <v>0</v>
      </c>
      <c r="G51" s="34"/>
      <c r="H51" s="85"/>
    </row>
    <row r="52" spans="1:8" s="18" customFormat="1" ht="36.75" customHeight="1" x14ac:dyDescent="0.25">
      <c r="A52" s="102"/>
      <c r="B52" s="103"/>
      <c r="C52" s="103"/>
      <c r="D52" s="45" t="s">
        <v>223</v>
      </c>
      <c r="E52" s="95"/>
      <c r="F52" s="195">
        <f>100000-40000</f>
        <v>60000</v>
      </c>
      <c r="G52" s="34">
        <f>49000</f>
        <v>49000</v>
      </c>
      <c r="H52" s="85">
        <f t="shared" si="1"/>
        <v>81.666666666666671</v>
      </c>
    </row>
    <row r="53" spans="1:8" s="18" customFormat="1" ht="20.25" customHeight="1" x14ac:dyDescent="0.25">
      <c r="A53" s="102"/>
      <c r="B53" s="103"/>
      <c r="C53" s="103"/>
      <c r="D53" s="106"/>
      <c r="E53" s="95"/>
      <c r="F53" s="195"/>
      <c r="G53" s="34"/>
      <c r="H53" s="85"/>
    </row>
    <row r="54" spans="1:8" s="18" customFormat="1" ht="24.75" customHeight="1" x14ac:dyDescent="0.25">
      <c r="A54" s="27" t="s">
        <v>295</v>
      </c>
      <c r="B54" s="41" t="s">
        <v>296</v>
      </c>
      <c r="C54" s="103"/>
      <c r="D54" s="99"/>
      <c r="E54" s="32">
        <f t="shared" ref="E54:G54" si="7">E56</f>
        <v>1607350</v>
      </c>
      <c r="F54" s="140">
        <f t="shared" si="7"/>
        <v>1629875</v>
      </c>
      <c r="G54" s="32">
        <f t="shared" si="7"/>
        <v>1624386.6300000001</v>
      </c>
      <c r="H54" s="85">
        <f t="shared" si="1"/>
        <v>99.663264360763876</v>
      </c>
    </row>
    <row r="55" spans="1:8" s="18" customFormat="1" ht="45.75" hidden="1" customHeight="1" x14ac:dyDescent="0.25">
      <c r="A55" s="102"/>
      <c r="B55" s="103"/>
      <c r="C55" s="103"/>
      <c r="D55" s="107" t="s">
        <v>294</v>
      </c>
      <c r="E55" s="32"/>
      <c r="F55" s="140"/>
      <c r="G55" s="32">
        <f>G56+G63</f>
        <v>2863173.2600000002</v>
      </c>
      <c r="H55" s="85" t="e">
        <f t="shared" si="1"/>
        <v>#DIV/0!</v>
      </c>
    </row>
    <row r="56" spans="1:8" s="22" customFormat="1" ht="37.5" customHeight="1" x14ac:dyDescent="0.25">
      <c r="A56" s="27" t="s">
        <v>295</v>
      </c>
      <c r="B56" s="41" t="s">
        <v>296</v>
      </c>
      <c r="C56" s="103"/>
      <c r="D56" s="99"/>
      <c r="E56" s="32">
        <f t="shared" ref="E56:G56" si="8">E57</f>
        <v>1607350</v>
      </c>
      <c r="F56" s="140">
        <f t="shared" si="8"/>
        <v>1629875</v>
      </c>
      <c r="G56" s="32">
        <f t="shared" si="8"/>
        <v>1624386.6300000001</v>
      </c>
      <c r="H56" s="85">
        <f t="shared" si="1"/>
        <v>99.663264360763876</v>
      </c>
    </row>
    <row r="57" spans="1:8" s="23" customFormat="1" ht="52.5" customHeight="1" x14ac:dyDescent="0.25">
      <c r="A57" s="27"/>
      <c r="B57" s="41"/>
      <c r="C57" s="103"/>
      <c r="D57" s="99" t="s">
        <v>20</v>
      </c>
      <c r="E57" s="32">
        <f t="shared" ref="E57:G57" si="9">E58+E63</f>
        <v>1607350</v>
      </c>
      <c r="F57" s="140">
        <f t="shared" si="9"/>
        <v>1629875</v>
      </c>
      <c r="G57" s="32">
        <f t="shared" si="9"/>
        <v>1624386.6300000001</v>
      </c>
      <c r="H57" s="85">
        <f t="shared" si="1"/>
        <v>99.663264360763876</v>
      </c>
    </row>
    <row r="58" spans="1:8" s="23" customFormat="1" ht="30" customHeight="1" x14ac:dyDescent="0.25">
      <c r="A58" s="27"/>
      <c r="B58" s="41"/>
      <c r="C58" s="103"/>
      <c r="D58" s="99" t="s">
        <v>252</v>
      </c>
      <c r="E58" s="32">
        <f t="shared" ref="E58:G58" si="10">SUM(E59:E61)</f>
        <v>337350</v>
      </c>
      <c r="F58" s="140">
        <f t="shared" si="10"/>
        <v>386350</v>
      </c>
      <c r="G58" s="32">
        <f t="shared" si="10"/>
        <v>385600</v>
      </c>
      <c r="H58" s="85">
        <f t="shared" si="1"/>
        <v>99.805875501488288</v>
      </c>
    </row>
    <row r="59" spans="1:8" s="22" customFormat="1" ht="30" customHeight="1" x14ac:dyDescent="0.25">
      <c r="A59" s="27"/>
      <c r="B59" s="41"/>
      <c r="C59" s="103"/>
      <c r="D59" s="45" t="s">
        <v>376</v>
      </c>
      <c r="E59" s="34">
        <f>337350</f>
        <v>337350</v>
      </c>
      <c r="F59" s="195">
        <v>337350</v>
      </c>
      <c r="G59" s="31">
        <v>336600</v>
      </c>
      <c r="H59" s="85">
        <f t="shared" si="1"/>
        <v>99.777678968430422</v>
      </c>
    </row>
    <row r="60" spans="1:8" s="22" customFormat="1" ht="48.75" customHeight="1" x14ac:dyDescent="0.25">
      <c r="A60" s="27"/>
      <c r="B60" s="41"/>
      <c r="C60" s="103"/>
      <c r="D60" s="45" t="s">
        <v>21</v>
      </c>
      <c r="E60" s="101"/>
      <c r="F60" s="195">
        <v>33000</v>
      </c>
      <c r="G60" s="31">
        <f>33000</f>
        <v>33000</v>
      </c>
      <c r="H60" s="85">
        <f t="shared" si="1"/>
        <v>100</v>
      </c>
    </row>
    <row r="61" spans="1:8" s="22" customFormat="1" ht="50.25" customHeight="1" x14ac:dyDescent="0.25">
      <c r="A61" s="27"/>
      <c r="B61" s="41"/>
      <c r="C61" s="103"/>
      <c r="D61" s="45" t="s">
        <v>22</v>
      </c>
      <c r="E61" s="101"/>
      <c r="F61" s="195">
        <v>16000</v>
      </c>
      <c r="G61" s="31">
        <f>16000</f>
        <v>16000</v>
      </c>
      <c r="H61" s="85">
        <f t="shared" si="1"/>
        <v>100</v>
      </c>
    </row>
    <row r="62" spans="1:8" s="22" customFormat="1" ht="22.5" customHeight="1" x14ac:dyDescent="0.25">
      <c r="A62" s="27"/>
      <c r="B62" s="41"/>
      <c r="C62" s="103"/>
      <c r="D62" s="99"/>
      <c r="E62" s="32"/>
      <c r="F62" s="140"/>
      <c r="G62" s="32"/>
      <c r="H62" s="85"/>
    </row>
    <row r="63" spans="1:8" s="22" customFormat="1" ht="37.5" customHeight="1" x14ac:dyDescent="0.25">
      <c r="A63" s="27"/>
      <c r="B63" s="41"/>
      <c r="C63" s="103"/>
      <c r="D63" s="99" t="s">
        <v>253</v>
      </c>
      <c r="E63" s="32">
        <f>SUM(E64:E66)</f>
        <v>1270000</v>
      </c>
      <c r="F63" s="140">
        <f>SUM(F64:F67)</f>
        <v>1243525</v>
      </c>
      <c r="G63" s="32">
        <f>SUM(G64:G67)</f>
        <v>1238786.6300000001</v>
      </c>
      <c r="H63" s="85">
        <f t="shared" si="1"/>
        <v>99.618956595162956</v>
      </c>
    </row>
    <row r="64" spans="1:8" s="23" customFormat="1" ht="42.75" customHeight="1" x14ac:dyDescent="0.25">
      <c r="A64" s="27"/>
      <c r="B64" s="41"/>
      <c r="C64" s="103"/>
      <c r="D64" s="45" t="s">
        <v>379</v>
      </c>
      <c r="E64" s="101">
        <f>330000</f>
        <v>330000</v>
      </c>
      <c r="F64" s="126">
        <f>330000-17645</f>
        <v>312355</v>
      </c>
      <c r="G64" s="31">
        <f>296695.2+11113.26</f>
        <v>307808.46000000002</v>
      </c>
      <c r="H64" s="85">
        <f t="shared" si="1"/>
        <v>98.544431816362803</v>
      </c>
    </row>
    <row r="65" spans="1:8" s="23" customFormat="1" ht="55.5" customHeight="1" x14ac:dyDescent="0.25">
      <c r="A65" s="27"/>
      <c r="B65" s="41"/>
      <c r="C65" s="103"/>
      <c r="D65" s="45" t="s">
        <v>380</v>
      </c>
      <c r="E65" s="101">
        <f>550000</f>
        <v>550000</v>
      </c>
      <c r="F65" s="126">
        <f>550000-8830</f>
        <v>541170</v>
      </c>
      <c r="G65" s="31">
        <f>12534.32+380084.4+140715.6+7832.07</f>
        <v>541166.39</v>
      </c>
      <c r="H65" s="85">
        <f t="shared" si="1"/>
        <v>99.999332926806744</v>
      </c>
    </row>
    <row r="66" spans="1:8" s="23" customFormat="1" ht="47.25" customHeight="1" x14ac:dyDescent="0.25">
      <c r="A66" s="27"/>
      <c r="B66" s="41"/>
      <c r="C66" s="103"/>
      <c r="D66" s="45" t="s">
        <v>381</v>
      </c>
      <c r="E66" s="108">
        <f>390000</f>
        <v>390000</v>
      </c>
      <c r="F66" s="126">
        <f>390000</f>
        <v>390000</v>
      </c>
      <c r="G66" s="31">
        <f>239804.4+5335.39+123669.6+16142.39+4860</f>
        <v>389811.78</v>
      </c>
      <c r="H66" s="85">
        <f t="shared" si="1"/>
        <v>99.951738461538469</v>
      </c>
    </row>
    <row r="67" spans="1:8" s="1" customFormat="1" ht="18.75" customHeight="1" x14ac:dyDescent="0.25">
      <c r="A67" s="109"/>
      <c r="B67" s="110"/>
      <c r="C67" s="110"/>
      <c r="D67" s="30"/>
      <c r="E67" s="34"/>
      <c r="F67" s="195"/>
      <c r="G67" s="31"/>
      <c r="H67" s="85"/>
    </row>
    <row r="68" spans="1:8" s="1" customFormat="1" ht="27" customHeight="1" x14ac:dyDescent="0.25">
      <c r="A68" s="27" t="s">
        <v>167</v>
      </c>
      <c r="B68" s="111" t="s">
        <v>168</v>
      </c>
      <c r="C68" s="61"/>
      <c r="D68" s="99" t="s">
        <v>252</v>
      </c>
      <c r="E68" s="33"/>
      <c r="F68" s="140">
        <f>SUM(F69)</f>
        <v>270000</v>
      </c>
      <c r="G68" s="32">
        <f>SUM(G69)</f>
        <v>270000</v>
      </c>
      <c r="H68" s="85">
        <f t="shared" si="1"/>
        <v>100</v>
      </c>
    </row>
    <row r="69" spans="1:8" s="1" customFormat="1" ht="39.75" customHeight="1" x14ac:dyDescent="0.25">
      <c r="A69" s="109"/>
      <c r="B69" s="110"/>
      <c r="C69" s="110"/>
      <c r="D69" s="112" t="s">
        <v>169</v>
      </c>
      <c r="E69" s="34"/>
      <c r="F69" s="195">
        <f>270000</f>
        <v>270000</v>
      </c>
      <c r="G69" s="31">
        <v>270000</v>
      </c>
      <c r="H69" s="85">
        <f t="shared" si="1"/>
        <v>100</v>
      </c>
    </row>
    <row r="70" spans="1:8" s="1" customFormat="1" ht="20.25" customHeight="1" x14ac:dyDescent="0.25">
      <c r="A70" s="109"/>
      <c r="B70" s="110"/>
      <c r="C70" s="110"/>
      <c r="D70" s="64"/>
      <c r="E70" s="34"/>
      <c r="F70" s="195"/>
      <c r="G70" s="31"/>
      <c r="H70" s="85"/>
    </row>
    <row r="71" spans="1:8" s="1" customFormat="1" ht="39.75" customHeight="1" x14ac:dyDescent="0.25">
      <c r="A71" s="27" t="s">
        <v>340</v>
      </c>
      <c r="B71" s="113">
        <v>2151</v>
      </c>
      <c r="C71" s="114"/>
      <c r="D71" s="115" t="s">
        <v>253</v>
      </c>
      <c r="E71" s="34"/>
      <c r="F71" s="140">
        <f>F72+F73</f>
        <v>590000</v>
      </c>
      <c r="G71" s="32">
        <f t="shared" ref="G71" si="11">G72+G73</f>
        <v>154493.84</v>
      </c>
      <c r="H71" s="85">
        <f t="shared" si="1"/>
        <v>26.185396610169491</v>
      </c>
    </row>
    <row r="72" spans="1:8" s="1" customFormat="1" ht="79.5" customHeight="1" x14ac:dyDescent="0.25">
      <c r="A72" s="109"/>
      <c r="B72" s="110"/>
      <c r="C72" s="110"/>
      <c r="D72" s="64" t="s">
        <v>178</v>
      </c>
      <c r="E72" s="34"/>
      <c r="F72" s="195">
        <f>450000+140000-140000</f>
        <v>450000</v>
      </c>
      <c r="G72" s="31">
        <f>18212.84</f>
        <v>18212.84</v>
      </c>
      <c r="H72" s="85">
        <f t="shared" si="1"/>
        <v>4.0472977777777777</v>
      </c>
    </row>
    <row r="73" spans="1:8" s="1" customFormat="1" ht="79.5" customHeight="1" x14ac:dyDescent="0.25">
      <c r="A73" s="109"/>
      <c r="B73" s="110"/>
      <c r="C73" s="110"/>
      <c r="D73" s="64" t="s">
        <v>499</v>
      </c>
      <c r="E73" s="34"/>
      <c r="F73" s="195">
        <f>140000</f>
        <v>140000</v>
      </c>
      <c r="G73" s="31">
        <f>134533+1748</f>
        <v>136281</v>
      </c>
      <c r="H73" s="85">
        <f t="shared" si="1"/>
        <v>97.343571428571423</v>
      </c>
    </row>
    <row r="74" spans="1:8" s="1" customFormat="1" ht="23.25" customHeight="1" x14ac:dyDescent="0.25">
      <c r="A74" s="109"/>
      <c r="B74" s="110"/>
      <c r="C74" s="110"/>
      <c r="D74" s="96"/>
      <c r="E74" s="34"/>
      <c r="F74" s="195"/>
      <c r="G74" s="31"/>
      <c r="H74" s="85"/>
    </row>
    <row r="75" spans="1:8" s="1" customFormat="1" ht="39.75" hidden="1" customHeight="1" x14ac:dyDescent="0.25">
      <c r="A75" s="27" t="s">
        <v>354</v>
      </c>
      <c r="B75" s="111" t="s">
        <v>355</v>
      </c>
      <c r="C75" s="61"/>
      <c r="D75" s="99"/>
      <c r="E75" s="33"/>
      <c r="F75" s="140">
        <f>SUM(F76)</f>
        <v>0</v>
      </c>
      <c r="G75" s="32">
        <f>SUM(G76)</f>
        <v>0</v>
      </c>
      <c r="H75" s="85" t="e">
        <f t="shared" ref="H75:H135" si="12">G75/F75*100</f>
        <v>#DIV/0!</v>
      </c>
    </row>
    <row r="76" spans="1:8" s="1" customFormat="1" ht="27" hidden="1" customHeight="1" x14ac:dyDescent="0.25">
      <c r="A76" s="109"/>
      <c r="B76" s="110"/>
      <c r="C76" s="110"/>
      <c r="D76" s="30"/>
      <c r="E76" s="34"/>
      <c r="F76" s="195"/>
      <c r="G76" s="31"/>
      <c r="H76" s="85" t="e">
        <f t="shared" si="12"/>
        <v>#DIV/0!</v>
      </c>
    </row>
    <row r="77" spans="1:8" s="1" customFormat="1" ht="27" hidden="1" customHeight="1" x14ac:dyDescent="0.25">
      <c r="A77" s="109"/>
      <c r="B77" s="110"/>
      <c r="C77" s="110"/>
      <c r="D77" s="30"/>
      <c r="E77" s="34"/>
      <c r="F77" s="195"/>
      <c r="G77" s="31"/>
      <c r="H77" s="85" t="e">
        <f t="shared" si="12"/>
        <v>#DIV/0!</v>
      </c>
    </row>
    <row r="78" spans="1:8" s="19" customFormat="1" ht="27" customHeight="1" x14ac:dyDescent="0.3">
      <c r="A78" s="27" t="s">
        <v>292</v>
      </c>
      <c r="B78" s="61" t="s">
        <v>293</v>
      </c>
      <c r="C78" s="29"/>
      <c r="D78" s="116"/>
      <c r="E78" s="117">
        <f t="shared" ref="E78:G79" si="13">E79</f>
        <v>3508474</v>
      </c>
      <c r="F78" s="139">
        <f t="shared" si="13"/>
        <v>369361</v>
      </c>
      <c r="G78" s="117">
        <f>G79</f>
        <v>369360</v>
      </c>
      <c r="H78" s="85">
        <f t="shared" si="12"/>
        <v>99.999729262158155</v>
      </c>
    </row>
    <row r="79" spans="1:8" s="25" customFormat="1" ht="34.5" customHeight="1" x14ac:dyDescent="0.35">
      <c r="A79" s="118"/>
      <c r="B79" s="119"/>
      <c r="C79" s="119"/>
      <c r="D79" s="36" t="s">
        <v>253</v>
      </c>
      <c r="E79" s="120">
        <f t="shared" si="13"/>
        <v>3508474</v>
      </c>
      <c r="F79" s="120">
        <f t="shared" si="13"/>
        <v>369361</v>
      </c>
      <c r="G79" s="33">
        <f t="shared" si="13"/>
        <v>369360</v>
      </c>
      <c r="H79" s="85">
        <f t="shared" si="12"/>
        <v>99.999729262158155</v>
      </c>
    </row>
    <row r="80" spans="1:8" s="1" customFormat="1" ht="90" customHeight="1" x14ac:dyDescent="0.25">
      <c r="A80" s="121"/>
      <c r="B80" s="29"/>
      <c r="C80" s="122"/>
      <c r="D80" s="123" t="s">
        <v>300</v>
      </c>
      <c r="E80" s="117">
        <f t="shared" ref="E80:G80" si="14">SUM(E81:E105)</f>
        <v>3508474</v>
      </c>
      <c r="F80" s="139">
        <f t="shared" si="14"/>
        <v>369361</v>
      </c>
      <c r="G80" s="117">
        <f t="shared" si="14"/>
        <v>369360</v>
      </c>
      <c r="H80" s="85">
        <f t="shared" si="12"/>
        <v>99.999729262158155</v>
      </c>
    </row>
    <row r="81" spans="1:8" s="1" customFormat="1" ht="43.5" customHeight="1" x14ac:dyDescent="0.25">
      <c r="A81" s="121"/>
      <c r="B81" s="29"/>
      <c r="C81" s="122"/>
      <c r="D81" s="44" t="s">
        <v>382</v>
      </c>
      <c r="E81" s="101">
        <v>34925</v>
      </c>
      <c r="F81" s="126">
        <f>34925-2727</f>
        <v>32198</v>
      </c>
      <c r="G81" s="34">
        <f>32198</f>
        <v>32198</v>
      </c>
      <c r="H81" s="85">
        <f t="shared" si="12"/>
        <v>100</v>
      </c>
    </row>
    <row r="82" spans="1:8" s="1" customFormat="1" ht="43.5" customHeight="1" x14ac:dyDescent="0.25">
      <c r="A82" s="121"/>
      <c r="B82" s="29"/>
      <c r="C82" s="122"/>
      <c r="D82" s="44" t="s">
        <v>384</v>
      </c>
      <c r="E82" s="101">
        <v>34875</v>
      </c>
      <c r="F82" s="126">
        <f>34875-2245</f>
        <v>32630</v>
      </c>
      <c r="G82" s="34">
        <f>32630</f>
        <v>32630</v>
      </c>
      <c r="H82" s="85">
        <f t="shared" si="12"/>
        <v>100</v>
      </c>
    </row>
    <row r="83" spans="1:8" s="1" customFormat="1" ht="38.25" customHeight="1" x14ac:dyDescent="0.25">
      <c r="A83" s="121"/>
      <c r="B83" s="29"/>
      <c r="C83" s="122"/>
      <c r="D83" s="44" t="s">
        <v>385</v>
      </c>
      <c r="E83" s="101">
        <v>34894</v>
      </c>
      <c r="F83" s="355">
        <f>34894-2131</f>
        <v>32763</v>
      </c>
      <c r="G83" s="34">
        <f>32763</f>
        <v>32763</v>
      </c>
      <c r="H83" s="85">
        <f t="shared" si="12"/>
        <v>100</v>
      </c>
    </row>
    <row r="84" spans="1:8" s="1" customFormat="1" ht="36" customHeight="1" x14ac:dyDescent="0.25">
      <c r="A84" s="121"/>
      <c r="B84" s="29"/>
      <c r="C84" s="122"/>
      <c r="D84" s="44" t="s">
        <v>405</v>
      </c>
      <c r="E84" s="101">
        <v>88224</v>
      </c>
      <c r="F84" s="355">
        <f>88224-88224</f>
        <v>0</v>
      </c>
      <c r="G84" s="34"/>
      <c r="H84" s="85"/>
    </row>
    <row r="85" spans="1:8" s="1" customFormat="1" ht="34.5" customHeight="1" x14ac:dyDescent="0.25">
      <c r="A85" s="121"/>
      <c r="B85" s="29"/>
      <c r="C85" s="122"/>
      <c r="D85" s="44" t="s">
        <v>406</v>
      </c>
      <c r="E85" s="101">
        <v>254950</v>
      </c>
      <c r="F85" s="355">
        <f>254950-254950</f>
        <v>0</v>
      </c>
      <c r="G85" s="34"/>
      <c r="H85" s="85"/>
    </row>
    <row r="86" spans="1:8" s="1" customFormat="1" ht="39" customHeight="1" x14ac:dyDescent="0.25">
      <c r="A86" s="121"/>
      <c r="B86" s="29"/>
      <c r="C86" s="122"/>
      <c r="D86" s="44" t="s">
        <v>407</v>
      </c>
      <c r="E86" s="101">
        <v>68288</v>
      </c>
      <c r="F86" s="355">
        <f>68288-68288</f>
        <v>0</v>
      </c>
      <c r="G86" s="34"/>
      <c r="H86" s="85"/>
    </row>
    <row r="87" spans="1:8" s="1" customFormat="1" ht="45.75" customHeight="1" x14ac:dyDescent="0.25">
      <c r="A87" s="121"/>
      <c r="B87" s="29"/>
      <c r="C87" s="122"/>
      <c r="D87" s="44" t="s">
        <v>408</v>
      </c>
      <c r="E87" s="101">
        <v>207806</v>
      </c>
      <c r="F87" s="126">
        <f>207806-207806</f>
        <v>0</v>
      </c>
      <c r="G87" s="34"/>
      <c r="H87" s="85"/>
    </row>
    <row r="88" spans="1:8" s="1" customFormat="1" ht="50.25" customHeight="1" x14ac:dyDescent="0.25">
      <c r="A88" s="121"/>
      <c r="B88" s="29"/>
      <c r="C88" s="122"/>
      <c r="D88" s="44" t="s">
        <v>409</v>
      </c>
      <c r="E88" s="101">
        <v>67007</v>
      </c>
      <c r="F88" s="126">
        <f>67007-67007</f>
        <v>0</v>
      </c>
      <c r="G88" s="34"/>
      <c r="H88" s="85"/>
    </row>
    <row r="89" spans="1:8" s="1" customFormat="1" ht="36.75" customHeight="1" x14ac:dyDescent="0.25">
      <c r="A89" s="121"/>
      <c r="B89" s="29"/>
      <c r="C89" s="122"/>
      <c r="D89" s="44" t="s">
        <v>410</v>
      </c>
      <c r="E89" s="101">
        <v>107217</v>
      </c>
      <c r="F89" s="126">
        <f>107217-107217</f>
        <v>0</v>
      </c>
      <c r="G89" s="34"/>
      <c r="H89" s="85"/>
    </row>
    <row r="90" spans="1:8" s="1" customFormat="1" ht="45.75" customHeight="1" x14ac:dyDescent="0.25">
      <c r="A90" s="121"/>
      <c r="B90" s="29"/>
      <c r="C90" s="122"/>
      <c r="D90" s="44" t="s">
        <v>411</v>
      </c>
      <c r="E90" s="101">
        <v>139335</v>
      </c>
      <c r="F90" s="126">
        <f>139335-139335</f>
        <v>0</v>
      </c>
      <c r="G90" s="34"/>
      <c r="H90" s="85"/>
    </row>
    <row r="91" spans="1:8" s="1" customFormat="1" ht="48" customHeight="1" x14ac:dyDescent="0.25">
      <c r="A91" s="121"/>
      <c r="B91" s="29"/>
      <c r="C91" s="122"/>
      <c r="D91" s="44" t="s">
        <v>416</v>
      </c>
      <c r="E91" s="101">
        <v>209474</v>
      </c>
      <c r="F91" s="126">
        <f>209474-209474</f>
        <v>0</v>
      </c>
      <c r="G91" s="34"/>
      <c r="H91" s="85"/>
    </row>
    <row r="92" spans="1:8" s="1" customFormat="1" ht="48" customHeight="1" x14ac:dyDescent="0.25">
      <c r="A92" s="121"/>
      <c r="B92" s="29"/>
      <c r="C92" s="122"/>
      <c r="D92" s="44" t="s">
        <v>417</v>
      </c>
      <c r="E92" s="101">
        <v>132289</v>
      </c>
      <c r="F92" s="126">
        <f>132289-132289</f>
        <v>0</v>
      </c>
      <c r="G92" s="34"/>
      <c r="H92" s="85"/>
    </row>
    <row r="93" spans="1:8" s="1" customFormat="1" ht="48" customHeight="1" x14ac:dyDescent="0.25">
      <c r="A93" s="121"/>
      <c r="B93" s="29"/>
      <c r="C93" s="122"/>
      <c r="D93" s="47" t="s">
        <v>418</v>
      </c>
      <c r="E93" s="101">
        <v>156415</v>
      </c>
      <c r="F93" s="126">
        <f>156415-156415</f>
        <v>0</v>
      </c>
      <c r="G93" s="34"/>
      <c r="H93" s="85"/>
    </row>
    <row r="94" spans="1:8" s="1" customFormat="1" ht="48" customHeight="1" x14ac:dyDescent="0.25">
      <c r="A94" s="121"/>
      <c r="B94" s="29"/>
      <c r="C94" s="122"/>
      <c r="D94" s="44" t="s">
        <v>423</v>
      </c>
      <c r="E94" s="101">
        <v>398509</v>
      </c>
      <c r="F94" s="126">
        <f>398509-398509</f>
        <v>0</v>
      </c>
      <c r="G94" s="34"/>
      <c r="H94" s="85"/>
    </row>
    <row r="95" spans="1:8" s="1" customFormat="1" ht="48" customHeight="1" x14ac:dyDescent="0.25">
      <c r="A95" s="121"/>
      <c r="B95" s="29"/>
      <c r="C95" s="122"/>
      <c r="D95" s="44" t="s">
        <v>424</v>
      </c>
      <c r="E95" s="101">
        <v>271770</v>
      </c>
      <c r="F95" s="126">
        <f>271770</f>
        <v>271770</v>
      </c>
      <c r="G95" s="34">
        <f>271769</f>
        <v>271769</v>
      </c>
      <c r="H95" s="85">
        <f t="shared" si="12"/>
        <v>99.999632041800041</v>
      </c>
    </row>
    <row r="96" spans="1:8" s="1" customFormat="1" ht="63" customHeight="1" x14ac:dyDescent="0.25">
      <c r="A96" s="121"/>
      <c r="B96" s="29"/>
      <c r="C96" s="122"/>
      <c r="D96" s="44" t="s">
        <v>425</v>
      </c>
      <c r="E96" s="101">
        <v>182035</v>
      </c>
      <c r="F96" s="126">
        <f>182035-182035</f>
        <v>0</v>
      </c>
      <c r="G96" s="34"/>
      <c r="H96" s="85"/>
    </row>
    <row r="97" spans="1:8" s="1" customFormat="1" ht="44.25" customHeight="1" x14ac:dyDescent="0.25">
      <c r="A97" s="121"/>
      <c r="B97" s="29"/>
      <c r="C97" s="122"/>
      <c r="D97" s="44" t="s">
        <v>426</v>
      </c>
      <c r="E97" s="101">
        <v>104349</v>
      </c>
      <c r="F97" s="126">
        <f>104349-104349</f>
        <v>0</v>
      </c>
      <c r="G97" s="34"/>
      <c r="H97" s="85"/>
    </row>
    <row r="98" spans="1:8" s="1" customFormat="1" ht="44.25" customHeight="1" x14ac:dyDescent="0.25">
      <c r="A98" s="121"/>
      <c r="B98" s="29"/>
      <c r="C98" s="122"/>
      <c r="D98" s="44" t="s">
        <v>427</v>
      </c>
      <c r="E98" s="101">
        <v>90909</v>
      </c>
      <c r="F98" s="126">
        <f>90909-90909</f>
        <v>0</v>
      </c>
      <c r="G98" s="34"/>
      <c r="H98" s="85"/>
    </row>
    <row r="99" spans="1:8" s="1" customFormat="1" ht="48.75" customHeight="1" x14ac:dyDescent="0.25">
      <c r="A99" s="121"/>
      <c r="B99" s="29"/>
      <c r="C99" s="122"/>
      <c r="D99" s="44" t="s">
        <v>428</v>
      </c>
      <c r="E99" s="101">
        <v>90231</v>
      </c>
      <c r="F99" s="126">
        <f>90231-90231</f>
        <v>0</v>
      </c>
      <c r="G99" s="34"/>
      <c r="H99" s="85"/>
    </row>
    <row r="100" spans="1:8" s="1" customFormat="1" ht="42" customHeight="1" x14ac:dyDescent="0.25">
      <c r="A100" s="121"/>
      <c r="B100" s="29"/>
      <c r="C100" s="122"/>
      <c r="D100" s="44" t="s">
        <v>429</v>
      </c>
      <c r="E100" s="101">
        <v>53452</v>
      </c>
      <c r="F100" s="126">
        <f>53452-53452</f>
        <v>0</v>
      </c>
      <c r="G100" s="34"/>
      <c r="H100" s="85"/>
    </row>
    <row r="101" spans="1:8" s="1" customFormat="1" ht="35.25" customHeight="1" x14ac:dyDescent="0.25">
      <c r="A101" s="121"/>
      <c r="B101" s="29"/>
      <c r="C101" s="122"/>
      <c r="D101" s="44" t="s">
        <v>430</v>
      </c>
      <c r="E101" s="101">
        <v>171722</v>
      </c>
      <c r="F101" s="126">
        <f>171722-171722</f>
        <v>0</v>
      </c>
      <c r="G101" s="34"/>
      <c r="H101" s="85"/>
    </row>
    <row r="102" spans="1:8" s="1" customFormat="1" ht="52.5" customHeight="1" x14ac:dyDescent="0.25">
      <c r="A102" s="121"/>
      <c r="B102" s="29"/>
      <c r="C102" s="122"/>
      <c r="D102" s="44" t="s">
        <v>431</v>
      </c>
      <c r="E102" s="101">
        <v>171983</v>
      </c>
      <c r="F102" s="126">
        <f>171983-171983</f>
        <v>0</v>
      </c>
      <c r="G102" s="34"/>
      <c r="H102" s="85"/>
    </row>
    <row r="103" spans="1:8" s="1" customFormat="1" ht="45" customHeight="1" x14ac:dyDescent="0.25">
      <c r="A103" s="121"/>
      <c r="B103" s="29"/>
      <c r="C103" s="122"/>
      <c r="D103" s="44" t="s">
        <v>432</v>
      </c>
      <c r="E103" s="101">
        <v>147000</v>
      </c>
      <c r="F103" s="126">
        <f>147000-105887+125000-166113</f>
        <v>0</v>
      </c>
      <c r="G103" s="34"/>
      <c r="H103" s="85"/>
    </row>
    <row r="104" spans="1:8" s="1" customFormat="1" ht="42.75" customHeight="1" x14ac:dyDescent="0.25">
      <c r="A104" s="121"/>
      <c r="B104" s="29"/>
      <c r="C104" s="122"/>
      <c r="D104" s="44" t="s">
        <v>433</v>
      </c>
      <c r="E104" s="101">
        <v>290815</v>
      </c>
      <c r="F104" s="126">
        <f>290815-98000-192815</f>
        <v>0</v>
      </c>
      <c r="G104" s="34"/>
      <c r="H104" s="85"/>
    </row>
    <row r="105" spans="1:8" s="1" customFormat="1" ht="26.25" customHeight="1" x14ac:dyDescent="0.25">
      <c r="A105" s="121"/>
      <c r="B105" s="29"/>
      <c r="C105" s="122"/>
      <c r="D105" s="125"/>
      <c r="E105" s="126"/>
      <c r="F105" s="195"/>
      <c r="G105" s="34"/>
      <c r="H105" s="85"/>
    </row>
    <row r="106" spans="1:8" s="1" customFormat="1" ht="26.25" customHeight="1" x14ac:dyDescent="0.25">
      <c r="A106" s="111" t="s">
        <v>434</v>
      </c>
      <c r="B106" s="127">
        <v>6082</v>
      </c>
      <c r="C106" s="128"/>
      <c r="D106" s="128"/>
      <c r="E106" s="129">
        <f t="shared" ref="E106:G106" si="15">E107</f>
        <v>250000</v>
      </c>
      <c r="F106" s="356">
        <f>F107</f>
        <v>250000</v>
      </c>
      <c r="G106" s="129">
        <f t="shared" si="15"/>
        <v>250000</v>
      </c>
      <c r="H106" s="85">
        <f t="shared" si="12"/>
        <v>100</v>
      </c>
    </row>
    <row r="107" spans="1:8" s="1" customFormat="1" ht="26.25" customHeight="1" x14ac:dyDescent="0.25">
      <c r="A107" s="111"/>
      <c r="B107" s="129"/>
      <c r="C107" s="128"/>
      <c r="D107" s="36" t="s">
        <v>143</v>
      </c>
      <c r="E107" s="100">
        <f t="shared" ref="E107:G107" si="16">SUM(E108)</f>
        <v>250000</v>
      </c>
      <c r="F107" s="354">
        <f t="shared" si="16"/>
        <v>250000</v>
      </c>
      <c r="G107" s="100">
        <f t="shared" si="16"/>
        <v>250000</v>
      </c>
      <c r="H107" s="85">
        <f t="shared" si="12"/>
        <v>100</v>
      </c>
    </row>
    <row r="108" spans="1:8" s="1" customFormat="1" ht="36.75" customHeight="1" x14ac:dyDescent="0.25">
      <c r="A108" s="121"/>
      <c r="B108" s="29"/>
      <c r="C108" s="122"/>
      <c r="D108" s="130" t="s">
        <v>435</v>
      </c>
      <c r="E108" s="131">
        <f t="shared" ref="E108:G108" si="17">E109</f>
        <v>250000</v>
      </c>
      <c r="F108" s="357">
        <f t="shared" si="17"/>
        <v>250000</v>
      </c>
      <c r="G108" s="131">
        <f t="shared" si="17"/>
        <v>250000</v>
      </c>
      <c r="H108" s="85">
        <f t="shared" si="12"/>
        <v>100</v>
      </c>
    </row>
    <row r="109" spans="1:8" s="1" customFormat="1" ht="34.5" customHeight="1" x14ac:dyDescent="0.25">
      <c r="A109" s="121"/>
      <c r="B109" s="29"/>
      <c r="C109" s="122"/>
      <c r="D109" s="46" t="s">
        <v>436</v>
      </c>
      <c r="E109" s="132">
        <f>250000</f>
        <v>250000</v>
      </c>
      <c r="F109" s="195">
        <f>250000</f>
        <v>250000</v>
      </c>
      <c r="G109" s="34">
        <v>250000</v>
      </c>
      <c r="H109" s="85">
        <f t="shared" si="12"/>
        <v>100</v>
      </c>
    </row>
    <row r="110" spans="1:8" s="1" customFormat="1" ht="20.25" customHeight="1" x14ac:dyDescent="0.25">
      <c r="A110" s="121"/>
      <c r="B110" s="29"/>
      <c r="C110" s="122"/>
      <c r="D110" s="46"/>
      <c r="E110" s="132"/>
      <c r="F110" s="195"/>
      <c r="G110" s="34"/>
      <c r="H110" s="85"/>
    </row>
    <row r="111" spans="1:8" s="1" customFormat="1" ht="34.5" customHeight="1" x14ac:dyDescent="0.25">
      <c r="A111" s="111" t="s">
        <v>326</v>
      </c>
      <c r="B111" s="127">
        <v>6083</v>
      </c>
      <c r="C111" s="122"/>
      <c r="D111" s="46"/>
      <c r="E111" s="132"/>
      <c r="F111" s="140">
        <f>F112</f>
        <v>716000</v>
      </c>
      <c r="G111" s="90">
        <f>G112</f>
        <v>716000</v>
      </c>
      <c r="H111" s="85">
        <f t="shared" si="12"/>
        <v>100</v>
      </c>
    </row>
    <row r="112" spans="1:8" s="17" customFormat="1" ht="34.5" customHeight="1" x14ac:dyDescent="0.25">
      <c r="A112" s="111"/>
      <c r="B112" s="29"/>
      <c r="C112" s="122"/>
      <c r="D112" s="130" t="s">
        <v>143</v>
      </c>
      <c r="E112" s="132"/>
      <c r="F112" s="195">
        <f>F113+F114</f>
        <v>716000</v>
      </c>
      <c r="G112" s="31">
        <f>G113+G114</f>
        <v>716000</v>
      </c>
      <c r="H112" s="85">
        <f t="shared" si="12"/>
        <v>100</v>
      </c>
    </row>
    <row r="113" spans="1:8" s="9" customFormat="1" ht="34.5" customHeight="1" x14ac:dyDescent="0.25">
      <c r="A113" s="111"/>
      <c r="B113" s="29"/>
      <c r="C113" s="122"/>
      <c r="D113" s="46" t="s">
        <v>327</v>
      </c>
      <c r="E113" s="132"/>
      <c r="F113" s="195">
        <f>716000-716000</f>
        <v>0</v>
      </c>
      <c r="G113" s="34"/>
      <c r="H113" s="85"/>
    </row>
    <row r="114" spans="1:8" s="9" customFormat="1" ht="34.5" customHeight="1" x14ac:dyDescent="0.25">
      <c r="A114" s="111"/>
      <c r="B114" s="29"/>
      <c r="C114" s="122"/>
      <c r="D114" s="46" t="s">
        <v>463</v>
      </c>
      <c r="E114" s="132"/>
      <c r="F114" s="195">
        <f>716000</f>
        <v>716000</v>
      </c>
      <c r="G114" s="34">
        <f>716000</f>
        <v>716000</v>
      </c>
      <c r="H114" s="85">
        <f t="shared" si="12"/>
        <v>100</v>
      </c>
    </row>
    <row r="115" spans="1:8" s="1" customFormat="1" ht="25.5" customHeight="1" x14ac:dyDescent="0.25">
      <c r="A115" s="121"/>
      <c r="B115" s="29"/>
      <c r="C115" s="122"/>
      <c r="D115" s="46"/>
      <c r="E115" s="132"/>
      <c r="F115" s="195"/>
      <c r="G115" s="34"/>
      <c r="H115" s="85"/>
    </row>
    <row r="116" spans="1:8" s="1" customFormat="1" ht="26.25" customHeight="1" x14ac:dyDescent="0.25">
      <c r="A116" s="111" t="s">
        <v>260</v>
      </c>
      <c r="B116" s="127">
        <v>7321</v>
      </c>
      <c r="C116" s="128"/>
      <c r="D116" s="128"/>
      <c r="E116" s="129">
        <f t="shared" ref="E116:G116" si="18">E117+E128</f>
        <v>9354179</v>
      </c>
      <c r="F116" s="356">
        <f t="shared" si="18"/>
        <v>1706544</v>
      </c>
      <c r="G116" s="129">
        <f t="shared" si="18"/>
        <v>1197889.5900000001</v>
      </c>
      <c r="H116" s="85">
        <f t="shared" si="12"/>
        <v>70.193888349787642</v>
      </c>
    </row>
    <row r="117" spans="1:8" s="1" customFormat="1" ht="26.25" customHeight="1" x14ac:dyDescent="0.25">
      <c r="A117" s="111"/>
      <c r="B117" s="129"/>
      <c r="C117" s="128"/>
      <c r="D117" s="36" t="s">
        <v>266</v>
      </c>
      <c r="E117" s="100">
        <f t="shared" ref="E117:G117" si="19">SUM(E118:E127)</f>
        <v>9354179</v>
      </c>
      <c r="F117" s="354">
        <f t="shared" si="19"/>
        <v>1555989</v>
      </c>
      <c r="G117" s="100">
        <f t="shared" si="19"/>
        <v>1048189.5900000001</v>
      </c>
      <c r="H117" s="85">
        <f t="shared" si="12"/>
        <v>67.364845766904523</v>
      </c>
    </row>
    <row r="118" spans="1:8" s="1" customFormat="1" ht="113.25" customHeight="1" x14ac:dyDescent="0.25">
      <c r="A118" s="111"/>
      <c r="B118" s="129"/>
      <c r="C118" s="126"/>
      <c r="D118" s="30" t="s">
        <v>437</v>
      </c>
      <c r="E118" s="101">
        <f>10106800-1000000-100000</f>
        <v>9006800</v>
      </c>
      <c r="F118" s="126">
        <f>9006800-6960221-400000-1000000-96629+40000+52000</f>
        <v>641950</v>
      </c>
      <c r="G118" s="34">
        <f>520023+18346.49</f>
        <v>538369.49</v>
      </c>
      <c r="H118" s="85">
        <f t="shared" si="12"/>
        <v>83.864707531739242</v>
      </c>
    </row>
    <row r="119" spans="1:8" s="1" customFormat="1" ht="48.75" customHeight="1" x14ac:dyDescent="0.25">
      <c r="A119" s="111"/>
      <c r="B119" s="133"/>
      <c r="C119" s="122"/>
      <c r="D119" s="30" t="s">
        <v>193</v>
      </c>
      <c r="E119" s="101">
        <v>66231</v>
      </c>
      <c r="F119" s="126">
        <f>66231</f>
        <v>66231</v>
      </c>
      <c r="G119" s="34">
        <f>65289+942</f>
        <v>66231</v>
      </c>
      <c r="H119" s="85">
        <f t="shared" si="12"/>
        <v>100</v>
      </c>
    </row>
    <row r="120" spans="1:8" s="1" customFormat="1" ht="48.75" customHeight="1" x14ac:dyDescent="0.25">
      <c r="A120" s="111"/>
      <c r="B120" s="133"/>
      <c r="C120" s="122"/>
      <c r="D120" s="30" t="s">
        <v>179</v>
      </c>
      <c r="E120" s="101"/>
      <c r="F120" s="126">
        <f>199000-74350</f>
        <v>124650</v>
      </c>
      <c r="G120" s="34">
        <f>9941.61</f>
        <v>9941.61</v>
      </c>
      <c r="H120" s="85">
        <f t="shared" si="12"/>
        <v>7.975619735258725</v>
      </c>
    </row>
    <row r="121" spans="1:8" s="1" customFormat="1" ht="48.75" customHeight="1" x14ac:dyDescent="0.25">
      <c r="A121" s="111"/>
      <c r="B121" s="133"/>
      <c r="C121" s="122"/>
      <c r="D121" s="30" t="s">
        <v>438</v>
      </c>
      <c r="E121" s="101">
        <v>110000</v>
      </c>
      <c r="F121" s="126">
        <f>110000</f>
        <v>110000</v>
      </c>
      <c r="G121" s="34">
        <f>103459+1495</f>
        <v>104954</v>
      </c>
      <c r="H121" s="85">
        <f t="shared" si="12"/>
        <v>95.412727272727267</v>
      </c>
    </row>
    <row r="122" spans="1:8" s="1" customFormat="1" ht="77.25" customHeight="1" x14ac:dyDescent="0.25">
      <c r="A122" s="111"/>
      <c r="B122" s="133"/>
      <c r="C122" s="122"/>
      <c r="D122" s="112" t="s">
        <v>341</v>
      </c>
      <c r="E122" s="101"/>
      <c r="F122" s="126">
        <f>50000</f>
        <v>50000</v>
      </c>
      <c r="G122" s="34">
        <f>33400.23</f>
        <v>33400.230000000003</v>
      </c>
      <c r="H122" s="85">
        <f t="shared" si="12"/>
        <v>66.800460000000001</v>
      </c>
    </row>
    <row r="123" spans="1:8" s="1" customFormat="1" ht="48.75" customHeight="1" x14ac:dyDescent="0.25">
      <c r="A123" s="111"/>
      <c r="B123" s="133"/>
      <c r="C123" s="122"/>
      <c r="D123" s="30" t="s">
        <v>439</v>
      </c>
      <c r="E123" s="101">
        <v>110148</v>
      </c>
      <c r="F123" s="126">
        <f>110148</f>
        <v>110148</v>
      </c>
      <c r="G123" s="34">
        <f>108576+1572</f>
        <v>110148</v>
      </c>
      <c r="H123" s="85">
        <f t="shared" si="12"/>
        <v>100</v>
      </c>
    </row>
    <row r="124" spans="1:8" s="1" customFormat="1" ht="48.75" customHeight="1" x14ac:dyDescent="0.25">
      <c r="A124" s="109"/>
      <c r="B124" s="29"/>
      <c r="C124" s="122"/>
      <c r="D124" s="30" t="s">
        <v>441</v>
      </c>
      <c r="E124" s="101">
        <v>61000</v>
      </c>
      <c r="F124" s="126">
        <f>61000</f>
        <v>61000</v>
      </c>
      <c r="G124" s="34">
        <f>4263.16+55309+804</f>
        <v>60376.160000000003</v>
      </c>
      <c r="H124" s="85">
        <f t="shared" si="12"/>
        <v>98.977311475409849</v>
      </c>
    </row>
    <row r="125" spans="1:8" s="1" customFormat="1" ht="56.25" customHeight="1" x14ac:dyDescent="0.25">
      <c r="A125" s="109"/>
      <c r="B125" s="29"/>
      <c r="C125" s="122"/>
      <c r="D125" s="30" t="s">
        <v>342</v>
      </c>
      <c r="E125" s="101"/>
      <c r="F125" s="126">
        <f>170000+26005</f>
        <v>196005</v>
      </c>
      <c r="G125" s="34">
        <v>62384.55</v>
      </c>
      <c r="H125" s="85">
        <f t="shared" si="12"/>
        <v>31.828040101017834</v>
      </c>
    </row>
    <row r="126" spans="1:8" s="1" customFormat="1" ht="63.75" customHeight="1" x14ac:dyDescent="0.25">
      <c r="A126" s="109"/>
      <c r="B126" s="29"/>
      <c r="C126" s="122"/>
      <c r="D126" s="30" t="s">
        <v>343</v>
      </c>
      <c r="E126" s="101"/>
      <c r="F126" s="126">
        <f>170000+26005</f>
        <v>196005</v>
      </c>
      <c r="G126" s="34">
        <v>62384.55</v>
      </c>
      <c r="H126" s="85">
        <f t="shared" si="12"/>
        <v>31.828040101017834</v>
      </c>
    </row>
    <row r="127" spans="1:8" s="1" customFormat="1" ht="26.25" customHeight="1" x14ac:dyDescent="0.25">
      <c r="A127" s="109"/>
      <c r="B127" s="29"/>
      <c r="C127" s="122"/>
      <c r="D127" s="125"/>
      <c r="E127" s="126"/>
      <c r="F127" s="195"/>
      <c r="G127" s="34"/>
      <c r="H127" s="85"/>
    </row>
    <row r="128" spans="1:8" s="1" customFormat="1" ht="26.25" customHeight="1" x14ac:dyDescent="0.25">
      <c r="A128" s="109"/>
      <c r="B128" s="29"/>
      <c r="C128" s="122"/>
      <c r="D128" s="36" t="s">
        <v>264</v>
      </c>
      <c r="E128" s="32">
        <f t="shared" ref="E128:G128" si="20">SUM(E129:E131)</f>
        <v>0</v>
      </c>
      <c r="F128" s="140">
        <f t="shared" si="20"/>
        <v>150555</v>
      </c>
      <c r="G128" s="32">
        <f t="shared" si="20"/>
        <v>149700</v>
      </c>
      <c r="H128" s="85">
        <f t="shared" si="12"/>
        <v>99.432101225465772</v>
      </c>
    </row>
    <row r="129" spans="1:8" s="1" customFormat="1" ht="39" customHeight="1" x14ac:dyDescent="0.25">
      <c r="A129" s="109"/>
      <c r="B129" s="29"/>
      <c r="C129" s="122"/>
      <c r="D129" s="44" t="s">
        <v>344</v>
      </c>
      <c r="E129" s="32"/>
      <c r="F129" s="195">
        <f>170000-110000-10000</f>
        <v>50000</v>
      </c>
      <c r="G129" s="31">
        <f>49900</f>
        <v>49900</v>
      </c>
      <c r="H129" s="85">
        <f t="shared" si="12"/>
        <v>99.8</v>
      </c>
    </row>
    <row r="130" spans="1:8" s="1" customFormat="1" ht="42.75" customHeight="1" x14ac:dyDescent="0.25">
      <c r="A130" s="109"/>
      <c r="B130" s="29"/>
      <c r="C130" s="122"/>
      <c r="D130" s="44" t="s">
        <v>345</v>
      </c>
      <c r="E130" s="32"/>
      <c r="F130" s="195">
        <f>142000-82000-10000</f>
        <v>50000</v>
      </c>
      <c r="G130" s="31">
        <f>49900</f>
        <v>49900</v>
      </c>
      <c r="H130" s="85">
        <f t="shared" si="12"/>
        <v>99.8</v>
      </c>
    </row>
    <row r="131" spans="1:8" s="1" customFormat="1" ht="51.75" customHeight="1" x14ac:dyDescent="0.25">
      <c r="A131" s="109"/>
      <c r="B131" s="61"/>
      <c r="C131" s="29"/>
      <c r="D131" s="44" t="s">
        <v>31</v>
      </c>
      <c r="E131" s="134"/>
      <c r="F131" s="126">
        <f>175000-115000-9445</f>
        <v>50555</v>
      </c>
      <c r="G131" s="34">
        <f>49900</f>
        <v>49900</v>
      </c>
      <c r="H131" s="85">
        <f t="shared" si="12"/>
        <v>98.704381366828216</v>
      </c>
    </row>
    <row r="132" spans="1:8" s="1" customFormat="1" ht="26.25" customHeight="1" x14ac:dyDescent="0.25">
      <c r="A132" s="109"/>
      <c r="B132" s="29"/>
      <c r="C132" s="29"/>
      <c r="D132" s="135"/>
      <c r="E132" s="126"/>
      <c r="F132" s="195"/>
      <c r="G132" s="34"/>
      <c r="H132" s="85"/>
    </row>
    <row r="133" spans="1:8" s="1" customFormat="1" ht="50.25" customHeight="1" x14ac:dyDescent="0.25">
      <c r="A133" s="27" t="s">
        <v>297</v>
      </c>
      <c r="B133" s="41" t="s">
        <v>298</v>
      </c>
      <c r="C133" s="103"/>
      <c r="D133" s="30"/>
      <c r="E133" s="32">
        <f t="shared" ref="E133:G133" si="21">E134+E140</f>
        <v>2100000</v>
      </c>
      <c r="F133" s="140">
        <f t="shared" si="21"/>
        <v>461445</v>
      </c>
      <c r="G133" s="32">
        <f t="shared" si="21"/>
        <v>415995</v>
      </c>
      <c r="H133" s="85">
        <f t="shared" si="12"/>
        <v>90.150505477359161</v>
      </c>
    </row>
    <row r="134" spans="1:8" s="1" customFormat="1" ht="31.5" customHeight="1" x14ac:dyDescent="0.25">
      <c r="A134" s="27"/>
      <c r="B134" s="41"/>
      <c r="C134" s="103"/>
      <c r="D134" s="99" t="s">
        <v>266</v>
      </c>
      <c r="E134" s="33">
        <f>E135</f>
        <v>450000</v>
      </c>
      <c r="F134" s="120">
        <f>SUM(F135:F138)</f>
        <v>209445</v>
      </c>
      <c r="G134" s="33">
        <f>SUM(G135:G136)</f>
        <v>209445</v>
      </c>
      <c r="H134" s="85">
        <f t="shared" si="12"/>
        <v>100</v>
      </c>
    </row>
    <row r="135" spans="1:8" s="1" customFormat="1" ht="39" customHeight="1" x14ac:dyDescent="0.25">
      <c r="A135" s="102"/>
      <c r="B135" s="103"/>
      <c r="C135" s="103"/>
      <c r="D135" s="106" t="s">
        <v>442</v>
      </c>
      <c r="E135" s="95">
        <f>450000</f>
        <v>450000</v>
      </c>
      <c r="F135" s="195">
        <f>450000-240555</f>
        <v>209445</v>
      </c>
      <c r="G135" s="34">
        <f>206371+3074</f>
        <v>209445</v>
      </c>
      <c r="H135" s="85">
        <f t="shared" si="12"/>
        <v>100</v>
      </c>
    </row>
    <row r="136" spans="1:8" s="1" customFormat="1" ht="39" customHeight="1" x14ac:dyDescent="0.25">
      <c r="A136" s="136"/>
      <c r="B136" s="137"/>
      <c r="C136" s="137"/>
      <c r="D136" s="47" t="s">
        <v>156</v>
      </c>
      <c r="E136" s="95"/>
      <c r="F136" s="195">
        <f>100000+150000-200000-50000</f>
        <v>0</v>
      </c>
      <c r="G136" s="34"/>
      <c r="H136" s="85"/>
    </row>
    <row r="137" spans="1:8" s="1" customFormat="1" ht="112.5" customHeight="1" x14ac:dyDescent="0.25">
      <c r="A137" s="136"/>
      <c r="B137" s="137"/>
      <c r="C137" s="137"/>
      <c r="D137" s="44" t="s">
        <v>389</v>
      </c>
      <c r="E137" s="95"/>
      <c r="F137" s="195">
        <f>40000-40000</f>
        <v>0</v>
      </c>
      <c r="G137" s="34"/>
      <c r="H137" s="85"/>
    </row>
    <row r="138" spans="1:8" s="1" customFormat="1" ht="76.5" customHeight="1" x14ac:dyDescent="0.25">
      <c r="A138" s="136"/>
      <c r="B138" s="137"/>
      <c r="C138" s="137"/>
      <c r="D138" s="44" t="s">
        <v>390</v>
      </c>
      <c r="E138" s="95"/>
      <c r="F138" s="195">
        <f>50000-50000</f>
        <v>0</v>
      </c>
      <c r="G138" s="34"/>
      <c r="H138" s="85"/>
    </row>
    <row r="139" spans="1:8" s="1" customFormat="1" ht="24.75" customHeight="1" x14ac:dyDescent="0.25">
      <c r="A139" s="136"/>
      <c r="B139" s="137"/>
      <c r="C139" s="137"/>
      <c r="D139" s="106"/>
      <c r="E139" s="34"/>
      <c r="F139" s="195"/>
      <c r="G139" s="34"/>
      <c r="H139" s="85"/>
    </row>
    <row r="140" spans="1:8" s="1" customFormat="1" ht="24.75" customHeight="1" x14ac:dyDescent="0.25">
      <c r="A140" s="109"/>
      <c r="B140" s="29"/>
      <c r="C140" s="122"/>
      <c r="D140" s="36" t="s">
        <v>264</v>
      </c>
      <c r="E140" s="32">
        <f>SUM(E141:E142)</f>
        <v>1650000</v>
      </c>
      <c r="F140" s="140">
        <f>SUM(F141:F145)</f>
        <v>252000</v>
      </c>
      <c r="G140" s="32">
        <f>SUM(G141:G145)</f>
        <v>206550</v>
      </c>
      <c r="H140" s="85">
        <f t="shared" ref="H140:H202" si="22">G140/F140*100</f>
        <v>81.964285714285708</v>
      </c>
    </row>
    <row r="141" spans="1:8" s="1" customFormat="1" ht="48.75" customHeight="1" x14ac:dyDescent="0.25">
      <c r="A141" s="136"/>
      <c r="B141" s="137"/>
      <c r="C141" s="137"/>
      <c r="D141" s="67" t="s">
        <v>443</v>
      </c>
      <c r="E141" s="108">
        <v>650000</v>
      </c>
      <c r="F141" s="195">
        <f>650000-650000</f>
        <v>0</v>
      </c>
      <c r="G141" s="34"/>
      <c r="H141" s="85"/>
    </row>
    <row r="142" spans="1:8" s="1" customFormat="1" ht="42.75" customHeight="1" x14ac:dyDescent="0.25">
      <c r="A142" s="136"/>
      <c r="B142" s="137"/>
      <c r="C142" s="137"/>
      <c r="D142" s="44" t="s">
        <v>444</v>
      </c>
      <c r="E142" s="108">
        <v>1000000</v>
      </c>
      <c r="F142" s="195">
        <f>1000000-298000-450000</f>
        <v>252000</v>
      </c>
      <c r="G142" s="34">
        <f>20250+186300</f>
        <v>206550</v>
      </c>
      <c r="H142" s="85">
        <f t="shared" si="22"/>
        <v>81.964285714285708</v>
      </c>
    </row>
    <row r="143" spans="1:8" s="1" customFormat="1" ht="42.75" customHeight="1" x14ac:dyDescent="0.25">
      <c r="A143" s="136"/>
      <c r="B143" s="137"/>
      <c r="C143" s="137"/>
      <c r="D143" s="138" t="s">
        <v>391</v>
      </c>
      <c r="E143" s="108"/>
      <c r="F143" s="195">
        <f>170000-170000</f>
        <v>0</v>
      </c>
      <c r="G143" s="34"/>
      <c r="H143" s="85"/>
    </row>
    <row r="144" spans="1:8" s="1" customFormat="1" ht="42.75" customHeight="1" x14ac:dyDescent="0.25">
      <c r="A144" s="136"/>
      <c r="B144" s="137"/>
      <c r="C144" s="137"/>
      <c r="D144" s="138" t="s">
        <v>392</v>
      </c>
      <c r="E144" s="108"/>
      <c r="F144" s="195">
        <f>142000-142000</f>
        <v>0</v>
      </c>
      <c r="G144" s="34"/>
      <c r="H144" s="85"/>
    </row>
    <row r="145" spans="1:8" s="1" customFormat="1" ht="51" customHeight="1" x14ac:dyDescent="0.25">
      <c r="A145" s="136"/>
      <c r="B145" s="137"/>
      <c r="C145" s="137"/>
      <c r="D145" s="138" t="s">
        <v>393</v>
      </c>
      <c r="E145" s="34"/>
      <c r="F145" s="195">
        <f>175000-175000</f>
        <v>0</v>
      </c>
      <c r="G145" s="34"/>
      <c r="H145" s="85"/>
    </row>
    <row r="146" spans="1:8" s="1" customFormat="1" ht="24.75" customHeight="1" x14ac:dyDescent="0.25">
      <c r="A146" s="136"/>
      <c r="B146" s="137"/>
      <c r="C146" s="137"/>
      <c r="D146" s="138"/>
      <c r="E146" s="34"/>
      <c r="F146" s="195"/>
      <c r="G146" s="34"/>
      <c r="H146" s="85"/>
    </row>
    <row r="147" spans="1:8" s="1" customFormat="1" ht="36" customHeight="1" x14ac:dyDescent="0.25">
      <c r="A147" s="111" t="s">
        <v>261</v>
      </c>
      <c r="B147" s="119" t="s">
        <v>265</v>
      </c>
      <c r="C147" s="29"/>
      <c r="D147" s="125"/>
      <c r="E147" s="139">
        <f t="shared" ref="E147:G147" si="23">E148+E156</f>
        <v>7281348</v>
      </c>
      <c r="F147" s="139">
        <f t="shared" si="23"/>
        <v>5744795</v>
      </c>
      <c r="G147" s="139">
        <f t="shared" si="23"/>
        <v>4591606.5200000005</v>
      </c>
      <c r="H147" s="85">
        <f t="shared" si="22"/>
        <v>79.926377181431192</v>
      </c>
    </row>
    <row r="148" spans="1:8" s="1" customFormat="1" ht="33.75" customHeight="1" x14ac:dyDescent="0.25">
      <c r="A148" s="109"/>
      <c r="B148" s="29"/>
      <c r="C148" s="29"/>
      <c r="D148" s="36" t="s">
        <v>266</v>
      </c>
      <c r="E148" s="140">
        <f>SUM(E149:E159)</f>
        <v>7281348</v>
      </c>
      <c r="F148" s="140">
        <f>SUM(F149:F154)</f>
        <v>5219795</v>
      </c>
      <c r="G148" s="140">
        <f>SUM(G149:G154)</f>
        <v>4416306.82</v>
      </c>
      <c r="H148" s="85">
        <f t="shared" si="22"/>
        <v>84.606901612036495</v>
      </c>
    </row>
    <row r="149" spans="1:8" s="1" customFormat="1" ht="51.75" customHeight="1" x14ac:dyDescent="0.25">
      <c r="A149" s="109"/>
      <c r="B149" s="128"/>
      <c r="C149" s="43"/>
      <c r="D149" s="44" t="s">
        <v>445</v>
      </c>
      <c r="E149" s="101">
        <v>5000000</v>
      </c>
      <c r="F149" s="126">
        <f>5000000-4800000-200000</f>
        <v>0</v>
      </c>
      <c r="G149" s="34"/>
      <c r="H149" s="85"/>
    </row>
    <row r="150" spans="1:8" s="1" customFormat="1" ht="33" customHeight="1" x14ac:dyDescent="0.25">
      <c r="A150" s="109"/>
      <c r="B150" s="43"/>
      <c r="C150" s="43"/>
      <c r="D150" s="44" t="s">
        <v>446</v>
      </c>
      <c r="E150" s="101">
        <v>1131348</v>
      </c>
      <c r="F150" s="126">
        <f>1131348</f>
        <v>1131348</v>
      </c>
      <c r="G150" s="31">
        <f>530844.65+8915.14</f>
        <v>539759.79</v>
      </c>
      <c r="H150" s="85">
        <f t="shared" si="22"/>
        <v>47.709439535845739</v>
      </c>
    </row>
    <row r="151" spans="1:8" s="1" customFormat="1" ht="51.75" customHeight="1" x14ac:dyDescent="0.25">
      <c r="A151" s="109"/>
      <c r="B151" s="29"/>
      <c r="C151" s="29"/>
      <c r="D151" s="44" t="s">
        <v>447</v>
      </c>
      <c r="E151" s="101">
        <v>0</v>
      </c>
      <c r="F151" s="195">
        <v>0</v>
      </c>
      <c r="G151" s="31"/>
      <c r="H151" s="85"/>
    </row>
    <row r="152" spans="1:8" s="1" customFormat="1" ht="51.75" customHeight="1" x14ac:dyDescent="0.25">
      <c r="A152" s="109"/>
      <c r="B152" s="29"/>
      <c r="C152" s="29"/>
      <c r="D152" s="44" t="s">
        <v>394</v>
      </c>
      <c r="E152" s="101">
        <v>150000</v>
      </c>
      <c r="F152" s="195">
        <f>290555-290555</f>
        <v>0</v>
      </c>
      <c r="G152" s="31"/>
      <c r="H152" s="85"/>
    </row>
    <row r="153" spans="1:8" s="1" customFormat="1" ht="44.25" customHeight="1" x14ac:dyDescent="0.25">
      <c r="A153" s="109"/>
      <c r="B153" s="29"/>
      <c r="C153" s="29"/>
      <c r="D153" s="44" t="s">
        <v>23</v>
      </c>
      <c r="E153" s="101"/>
      <c r="F153" s="195">
        <f>48000-48000</f>
        <v>0</v>
      </c>
      <c r="G153" s="31"/>
      <c r="H153" s="85"/>
    </row>
    <row r="154" spans="1:8" s="1" customFormat="1" ht="66" customHeight="1" x14ac:dyDescent="0.25">
      <c r="A154" s="109"/>
      <c r="B154" s="29"/>
      <c r="C154" s="29"/>
      <c r="D154" s="35" t="s">
        <v>448</v>
      </c>
      <c r="E154" s="101">
        <v>1000000</v>
      </c>
      <c r="F154" s="195">
        <f>1000000+6960221-3472000-40000-344039-15735</f>
        <v>4088447</v>
      </c>
      <c r="G154" s="31">
        <f>15935.26+56850.3+43511+11133.18+3550281+8291.07+27534+21830+46051+46681+48449.22</f>
        <v>3876547.0300000003</v>
      </c>
      <c r="H154" s="85">
        <f t="shared" si="22"/>
        <v>94.817103658186113</v>
      </c>
    </row>
    <row r="155" spans="1:8" s="1" customFormat="1" ht="21.75" customHeight="1" x14ac:dyDescent="0.25">
      <c r="A155" s="109"/>
      <c r="B155" s="29"/>
      <c r="C155" s="29"/>
      <c r="D155" s="35"/>
      <c r="E155" s="101"/>
      <c r="F155" s="195"/>
      <c r="G155" s="31"/>
      <c r="H155" s="85"/>
    </row>
    <row r="156" spans="1:8" s="1" customFormat="1" ht="25.5" customHeight="1" x14ac:dyDescent="0.25">
      <c r="A156" s="109"/>
      <c r="B156" s="29"/>
      <c r="C156" s="29"/>
      <c r="D156" s="36" t="s">
        <v>264</v>
      </c>
      <c r="E156" s="140">
        <f t="shared" ref="E156:G156" si="24">SUM(E157:E165)</f>
        <v>0</v>
      </c>
      <c r="F156" s="140">
        <f t="shared" si="24"/>
        <v>525000</v>
      </c>
      <c r="G156" s="32">
        <f t="shared" si="24"/>
        <v>175299.7</v>
      </c>
      <c r="H156" s="85">
        <f t="shared" si="22"/>
        <v>33.390419047619055</v>
      </c>
    </row>
    <row r="157" spans="1:8" s="1" customFormat="1" ht="51" customHeight="1" x14ac:dyDescent="0.25">
      <c r="A157" s="109"/>
      <c r="B157" s="29"/>
      <c r="C157" s="29"/>
      <c r="D157" s="47" t="s">
        <v>182</v>
      </c>
      <c r="E157" s="101"/>
      <c r="F157" s="195">
        <f>80000+33000+340000</f>
        <v>453000</v>
      </c>
      <c r="G157" s="31">
        <f>32052+49464.28+28238.22</f>
        <v>109754.5</v>
      </c>
      <c r="H157" s="85">
        <f t="shared" si="22"/>
        <v>24.228366445916112</v>
      </c>
    </row>
    <row r="158" spans="1:8" s="1" customFormat="1" ht="50.25" customHeight="1" x14ac:dyDescent="0.25">
      <c r="A158" s="109"/>
      <c r="B158" s="29"/>
      <c r="C158" s="29"/>
      <c r="D158" s="44" t="s">
        <v>224</v>
      </c>
      <c r="E158" s="101"/>
      <c r="F158" s="195">
        <f>72000</f>
        <v>72000</v>
      </c>
      <c r="G158" s="31">
        <f>49993.2+15552</f>
        <v>65545.2</v>
      </c>
      <c r="H158" s="85">
        <f t="shared" si="22"/>
        <v>91.034999999999997</v>
      </c>
    </row>
    <row r="159" spans="1:8" s="1" customFormat="1" ht="22.5" customHeight="1" x14ac:dyDescent="0.25">
      <c r="A159" s="109"/>
      <c r="B159" s="29"/>
      <c r="C159" s="29"/>
      <c r="D159" s="125"/>
      <c r="E159" s="126"/>
      <c r="F159" s="195"/>
      <c r="G159" s="34"/>
      <c r="H159" s="85"/>
    </row>
    <row r="160" spans="1:8" s="1" customFormat="1" ht="32.25" hidden="1" customHeight="1" x14ac:dyDescent="0.25">
      <c r="A160" s="109"/>
      <c r="B160" s="29"/>
      <c r="C160" s="29"/>
      <c r="D160" s="36" t="s">
        <v>264</v>
      </c>
      <c r="E160" s="32">
        <f t="shared" ref="E160:G160" si="25">E161+E162</f>
        <v>0</v>
      </c>
      <c r="F160" s="140">
        <f t="shared" si="25"/>
        <v>0</v>
      </c>
      <c r="G160" s="32">
        <f t="shared" si="25"/>
        <v>0</v>
      </c>
      <c r="H160" s="85" t="e">
        <f t="shared" si="22"/>
        <v>#DIV/0!</v>
      </c>
    </row>
    <row r="161" spans="1:8" s="1" customFormat="1" ht="44.25" hidden="1" customHeight="1" x14ac:dyDescent="0.25">
      <c r="A161" s="109"/>
      <c r="B161" s="114"/>
      <c r="C161" s="141"/>
      <c r="D161" s="106"/>
      <c r="E161" s="126"/>
      <c r="F161" s="195"/>
      <c r="G161" s="34"/>
      <c r="H161" s="85" t="e">
        <f t="shared" si="22"/>
        <v>#DIV/0!</v>
      </c>
    </row>
    <row r="162" spans="1:8" s="1" customFormat="1" ht="44.25" hidden="1" customHeight="1" x14ac:dyDescent="0.25">
      <c r="A162" s="109"/>
      <c r="B162" s="114"/>
      <c r="C162" s="141"/>
      <c r="D162" s="106"/>
      <c r="E162" s="126"/>
      <c r="F162" s="195"/>
      <c r="G162" s="34"/>
      <c r="H162" s="85" t="e">
        <f t="shared" si="22"/>
        <v>#DIV/0!</v>
      </c>
    </row>
    <row r="163" spans="1:8" s="1" customFormat="1" ht="21" hidden="1" customHeight="1" x14ac:dyDescent="0.25">
      <c r="A163" s="109"/>
      <c r="B163" s="61"/>
      <c r="C163" s="43"/>
      <c r="D163" s="125"/>
      <c r="E163" s="126"/>
      <c r="F163" s="195"/>
      <c r="G163" s="34"/>
      <c r="H163" s="85" t="e">
        <f t="shared" si="22"/>
        <v>#DIV/0!</v>
      </c>
    </row>
    <row r="164" spans="1:8" s="1" customFormat="1" ht="38.25" hidden="1" customHeight="1" x14ac:dyDescent="0.25">
      <c r="A164" s="27" t="s">
        <v>233</v>
      </c>
      <c r="B164" s="142">
        <v>7330</v>
      </c>
      <c r="C164" s="143"/>
      <c r="D164" s="125"/>
      <c r="E164" s="117">
        <f>E165</f>
        <v>0</v>
      </c>
      <c r="F164" s="139">
        <f>F165</f>
        <v>0</v>
      </c>
      <c r="G164" s="117">
        <f>G165</f>
        <v>0</v>
      </c>
      <c r="H164" s="85" t="e">
        <f t="shared" si="22"/>
        <v>#DIV/0!</v>
      </c>
    </row>
    <row r="165" spans="1:8" s="1" customFormat="1" ht="24.75" hidden="1" customHeight="1" x14ac:dyDescent="0.25">
      <c r="A165" s="144"/>
      <c r="B165" s="145"/>
      <c r="C165" s="143"/>
      <c r="D165" s="36" t="s">
        <v>266</v>
      </c>
      <c r="E165" s="32">
        <f t="shared" ref="E165:G165" si="26">SUM(E166)</f>
        <v>0</v>
      </c>
      <c r="F165" s="140">
        <f t="shared" si="26"/>
        <v>0</v>
      </c>
      <c r="G165" s="32">
        <f t="shared" si="26"/>
        <v>0</v>
      </c>
      <c r="H165" s="85" t="e">
        <f t="shared" si="22"/>
        <v>#DIV/0!</v>
      </c>
    </row>
    <row r="166" spans="1:8" s="1" customFormat="1" ht="33.75" hidden="1" customHeight="1" x14ac:dyDescent="0.25">
      <c r="A166" s="109"/>
      <c r="B166" s="61"/>
      <c r="C166" s="43"/>
      <c r="D166" s="106"/>
      <c r="E166" s="126"/>
      <c r="F166" s="195"/>
      <c r="G166" s="34"/>
      <c r="H166" s="85" t="e">
        <f t="shared" si="22"/>
        <v>#DIV/0!</v>
      </c>
    </row>
    <row r="167" spans="1:8" s="1" customFormat="1" ht="18" hidden="1" customHeight="1" x14ac:dyDescent="0.25">
      <c r="A167" s="109"/>
      <c r="B167" s="61"/>
      <c r="C167" s="43"/>
      <c r="D167" s="125"/>
      <c r="E167" s="126"/>
      <c r="F167" s="195"/>
      <c r="G167" s="34"/>
      <c r="H167" s="85" t="e">
        <f t="shared" si="22"/>
        <v>#DIV/0!</v>
      </c>
    </row>
    <row r="168" spans="1:8" s="1" customFormat="1" ht="42.75" customHeight="1" x14ac:dyDescent="0.25">
      <c r="A168" s="27" t="s">
        <v>262</v>
      </c>
      <c r="B168" s="142">
        <v>7340</v>
      </c>
      <c r="C168" s="143"/>
      <c r="D168" s="125"/>
      <c r="E168" s="117">
        <f t="shared" ref="E168:G168" si="27">E169+E171</f>
        <v>1000000</v>
      </c>
      <c r="F168" s="139">
        <f t="shared" si="27"/>
        <v>974000</v>
      </c>
      <c r="G168" s="117">
        <f t="shared" si="27"/>
        <v>356780.51</v>
      </c>
      <c r="H168" s="85">
        <f t="shared" si="22"/>
        <v>36.630442505133473</v>
      </c>
    </row>
    <row r="169" spans="1:8" s="1" customFormat="1" ht="27.75" hidden="1" customHeight="1" x14ac:dyDescent="0.25">
      <c r="A169" s="144"/>
      <c r="B169" s="145"/>
      <c r="C169" s="143"/>
      <c r="D169" s="36" t="s">
        <v>264</v>
      </c>
      <c r="E169" s="32">
        <f>E170</f>
        <v>0</v>
      </c>
      <c r="F169" s="140">
        <f>F170</f>
        <v>0</v>
      </c>
      <c r="G169" s="32">
        <f>G170</f>
        <v>0</v>
      </c>
      <c r="H169" s="85" t="e">
        <f t="shared" si="22"/>
        <v>#DIV/0!</v>
      </c>
    </row>
    <row r="170" spans="1:8" s="1" customFormat="1" ht="39.75" hidden="1" customHeight="1" x14ac:dyDescent="0.25">
      <c r="A170" s="109"/>
      <c r="B170" s="142"/>
      <c r="C170" s="143"/>
      <c r="D170" s="146"/>
      <c r="E170" s="126"/>
      <c r="F170" s="195"/>
      <c r="G170" s="34"/>
      <c r="H170" s="85" t="e">
        <f t="shared" si="22"/>
        <v>#DIV/0!</v>
      </c>
    </row>
    <row r="171" spans="1:8" ht="28.5" customHeight="1" x14ac:dyDescent="0.25">
      <c r="A171" s="109"/>
      <c r="B171" s="147"/>
      <c r="C171" s="148"/>
      <c r="D171" s="36" t="s">
        <v>267</v>
      </c>
      <c r="E171" s="33">
        <f t="shared" ref="E171:G171" si="28">SUM(E172:E175)</f>
        <v>1000000</v>
      </c>
      <c r="F171" s="120">
        <f t="shared" si="28"/>
        <v>974000</v>
      </c>
      <c r="G171" s="33">
        <f t="shared" si="28"/>
        <v>356780.51</v>
      </c>
      <c r="H171" s="85">
        <f t="shared" si="22"/>
        <v>36.630442505133473</v>
      </c>
    </row>
    <row r="172" spans="1:8" s="1" customFormat="1" ht="43.5" customHeight="1" x14ac:dyDescent="0.25">
      <c r="A172" s="109"/>
      <c r="B172" s="142"/>
      <c r="C172" s="148"/>
      <c r="D172" s="48" t="s">
        <v>449</v>
      </c>
      <c r="E172" s="95">
        <f>1000000</f>
        <v>1000000</v>
      </c>
      <c r="F172" s="195">
        <f>1000000-560000-150000</f>
        <v>290000</v>
      </c>
      <c r="G172" s="34">
        <v>123700.5</v>
      </c>
      <c r="H172" s="85">
        <f t="shared" si="22"/>
        <v>42.655344827586205</v>
      </c>
    </row>
    <row r="173" spans="1:8" s="1" customFormat="1" ht="48" customHeight="1" x14ac:dyDescent="0.25">
      <c r="A173" s="109"/>
      <c r="B173" s="142"/>
      <c r="C173" s="148"/>
      <c r="D173" s="44" t="s">
        <v>185</v>
      </c>
      <c r="E173" s="95"/>
      <c r="F173" s="195">
        <f>500000-150000-100000+200000-53000</f>
        <v>397000</v>
      </c>
      <c r="G173" s="34">
        <f>47223+75623.62</f>
        <v>122846.62</v>
      </c>
      <c r="H173" s="85">
        <f t="shared" si="22"/>
        <v>30.943732997481106</v>
      </c>
    </row>
    <row r="174" spans="1:8" s="1" customFormat="1" ht="46.5" customHeight="1" x14ac:dyDescent="0.25">
      <c r="A174" s="109"/>
      <c r="B174" s="142"/>
      <c r="C174" s="148"/>
      <c r="D174" s="47" t="s">
        <v>186</v>
      </c>
      <c r="E174" s="95"/>
      <c r="F174" s="195">
        <f>100000+150000+82000-45000</f>
        <v>287000</v>
      </c>
      <c r="G174" s="34">
        <f>41353.53+68879.86</f>
        <v>110233.39</v>
      </c>
      <c r="H174" s="85">
        <f t="shared" si="22"/>
        <v>38.408846689895469</v>
      </c>
    </row>
    <row r="175" spans="1:8" s="1" customFormat="1" ht="19.5" customHeight="1" x14ac:dyDescent="0.25">
      <c r="A175" s="109"/>
      <c r="B175" s="142"/>
      <c r="C175" s="148"/>
      <c r="D175" s="125"/>
      <c r="E175" s="126"/>
      <c r="F175" s="195"/>
      <c r="G175" s="34"/>
      <c r="H175" s="85"/>
    </row>
    <row r="176" spans="1:8" s="3" customFormat="1" ht="36" customHeight="1" x14ac:dyDescent="0.25">
      <c r="A176" s="27" t="s">
        <v>263</v>
      </c>
      <c r="B176" s="28">
        <v>7350</v>
      </c>
      <c r="C176" s="143"/>
      <c r="D176" s="149"/>
      <c r="E176" s="129">
        <f t="shared" ref="E176:G178" si="29">E177</f>
        <v>400000</v>
      </c>
      <c r="F176" s="356">
        <f t="shared" si="29"/>
        <v>400000</v>
      </c>
      <c r="G176" s="129">
        <f t="shared" si="29"/>
        <v>247869</v>
      </c>
      <c r="H176" s="85">
        <f t="shared" si="22"/>
        <v>61.967249999999993</v>
      </c>
    </row>
    <row r="177" spans="1:8" s="3" customFormat="1" ht="26.25" customHeight="1" x14ac:dyDescent="0.25">
      <c r="A177" s="27"/>
      <c r="B177" s="150"/>
      <c r="C177" s="143"/>
      <c r="D177" s="36" t="s">
        <v>268</v>
      </c>
      <c r="E177" s="100">
        <f>E178</f>
        <v>400000</v>
      </c>
      <c r="F177" s="354">
        <f t="shared" si="29"/>
        <v>400000</v>
      </c>
      <c r="G177" s="100">
        <f t="shared" si="29"/>
        <v>247869</v>
      </c>
      <c r="H177" s="85">
        <f t="shared" si="22"/>
        <v>61.967249999999993</v>
      </c>
    </row>
    <row r="178" spans="1:8" s="4" customFormat="1" ht="57.75" customHeight="1" x14ac:dyDescent="0.25">
      <c r="A178" s="109"/>
      <c r="B178" s="151"/>
      <c r="C178" s="143">
        <v>2281</v>
      </c>
      <c r="D178" s="152" t="s">
        <v>450</v>
      </c>
      <c r="E178" s="153">
        <f>E179</f>
        <v>400000</v>
      </c>
      <c r="F178" s="358">
        <f t="shared" si="29"/>
        <v>400000</v>
      </c>
      <c r="G178" s="153">
        <f t="shared" si="29"/>
        <v>247869</v>
      </c>
      <c r="H178" s="85">
        <f t="shared" si="22"/>
        <v>61.967249999999993</v>
      </c>
    </row>
    <row r="179" spans="1:8" s="1" customFormat="1" ht="71.25" customHeight="1" x14ac:dyDescent="0.25">
      <c r="A179" s="109"/>
      <c r="B179" s="41"/>
      <c r="C179" s="29"/>
      <c r="D179" s="30" t="s">
        <v>451</v>
      </c>
      <c r="E179" s="31">
        <f>400000</f>
        <v>400000</v>
      </c>
      <c r="F179" s="195">
        <f>400000</f>
        <v>400000</v>
      </c>
      <c r="G179" s="34">
        <f>79899+88000+79970</f>
        <v>247869</v>
      </c>
      <c r="H179" s="85">
        <f t="shared" si="22"/>
        <v>61.967249999999993</v>
      </c>
    </row>
    <row r="180" spans="1:8" s="1" customFormat="1" ht="15.75" customHeight="1" x14ac:dyDescent="0.25">
      <c r="A180" s="109"/>
      <c r="B180" s="41"/>
      <c r="C180" s="29"/>
      <c r="D180" s="30"/>
      <c r="E180" s="31"/>
      <c r="F180" s="195"/>
      <c r="G180" s="34"/>
      <c r="H180" s="85"/>
    </row>
    <row r="181" spans="1:8" s="1" customFormat="1" ht="23.25" customHeight="1" x14ac:dyDescent="0.25">
      <c r="A181" s="27" t="s">
        <v>104</v>
      </c>
      <c r="B181" s="28">
        <v>7350</v>
      </c>
      <c r="C181" s="29"/>
      <c r="D181" s="30"/>
      <c r="E181" s="31"/>
      <c r="F181" s="140">
        <f>F182+F185</f>
        <v>60000</v>
      </c>
      <c r="G181" s="32">
        <f>G182+G185</f>
        <v>0</v>
      </c>
      <c r="H181" s="85">
        <f t="shared" si="22"/>
        <v>0</v>
      </c>
    </row>
    <row r="182" spans="1:8" s="1" customFormat="1" ht="23.25" customHeight="1" x14ac:dyDescent="0.25">
      <c r="A182" s="109"/>
      <c r="B182" s="41"/>
      <c r="C182" s="29"/>
      <c r="D182" s="99" t="s">
        <v>266</v>
      </c>
      <c r="E182" s="31"/>
      <c r="F182" s="140">
        <f>F183</f>
        <v>60000</v>
      </c>
      <c r="G182" s="33"/>
      <c r="H182" s="85">
        <f t="shared" si="22"/>
        <v>0</v>
      </c>
    </row>
    <row r="183" spans="1:8" s="1" customFormat="1" ht="48.75" customHeight="1" x14ac:dyDescent="0.25">
      <c r="A183" s="27"/>
      <c r="B183" s="28"/>
      <c r="C183" s="29"/>
      <c r="D183" s="35" t="s">
        <v>470</v>
      </c>
      <c r="E183" s="31"/>
      <c r="F183" s="195">
        <f>60000</f>
        <v>60000</v>
      </c>
      <c r="G183" s="31"/>
      <c r="H183" s="85">
        <f t="shared" si="22"/>
        <v>0</v>
      </c>
    </row>
    <row r="184" spans="1:8" s="1" customFormat="1" ht="23.25" customHeight="1" x14ac:dyDescent="0.25">
      <c r="A184" s="27"/>
      <c r="B184" s="28"/>
      <c r="C184" s="29"/>
      <c r="D184" s="30"/>
      <c r="E184" s="31"/>
      <c r="F184" s="140"/>
      <c r="G184" s="32"/>
      <c r="H184" s="85"/>
    </row>
    <row r="185" spans="1:8" s="1" customFormat="1" ht="28.5" customHeight="1" x14ac:dyDescent="0.25">
      <c r="A185" s="109"/>
      <c r="B185" s="41"/>
      <c r="C185" s="29"/>
      <c r="D185" s="99" t="s">
        <v>264</v>
      </c>
      <c r="E185" s="31"/>
      <c r="F185" s="140">
        <f>F186</f>
        <v>0</v>
      </c>
      <c r="G185" s="33"/>
      <c r="H185" s="85"/>
    </row>
    <row r="186" spans="1:8" s="1" customFormat="1" ht="38.25" customHeight="1" x14ac:dyDescent="0.25">
      <c r="A186" s="109"/>
      <c r="B186" s="41"/>
      <c r="C186" s="29"/>
      <c r="D186" s="35" t="s">
        <v>395</v>
      </c>
      <c r="E186" s="31"/>
      <c r="F186" s="195">
        <f>50000-50000</f>
        <v>0</v>
      </c>
      <c r="G186" s="34"/>
      <c r="H186" s="85"/>
    </row>
    <row r="187" spans="1:8" s="1" customFormat="1" ht="12" customHeight="1" x14ac:dyDescent="0.25">
      <c r="A187" s="109"/>
      <c r="B187" s="41"/>
      <c r="C187" s="29"/>
      <c r="D187" s="35"/>
      <c r="E187" s="31"/>
      <c r="F187" s="195"/>
      <c r="G187" s="34"/>
      <c r="H187" s="85"/>
    </row>
    <row r="188" spans="1:8" s="1" customFormat="1" ht="38.25" customHeight="1" x14ac:dyDescent="0.25">
      <c r="A188" s="27" t="s">
        <v>353</v>
      </c>
      <c r="B188" s="28">
        <v>8311</v>
      </c>
      <c r="C188" s="29"/>
      <c r="D188" s="35"/>
      <c r="E188" s="31"/>
      <c r="F188" s="140">
        <f>F189</f>
        <v>0</v>
      </c>
      <c r="G188" s="32">
        <f>G189</f>
        <v>0</v>
      </c>
      <c r="H188" s="85"/>
    </row>
    <row r="189" spans="1:8" s="1" customFormat="1" ht="19.5" customHeight="1" x14ac:dyDescent="0.25">
      <c r="A189" s="109"/>
      <c r="B189" s="41"/>
      <c r="C189" s="29"/>
      <c r="D189" s="99" t="s">
        <v>264</v>
      </c>
      <c r="E189" s="31"/>
      <c r="F189" s="140">
        <f>F190</f>
        <v>0</v>
      </c>
      <c r="G189" s="33"/>
      <c r="H189" s="85"/>
    </row>
    <row r="190" spans="1:8" s="9" customFormat="1" ht="47.25" customHeight="1" x14ac:dyDescent="0.25">
      <c r="A190" s="109"/>
      <c r="B190" s="41"/>
      <c r="C190" s="29"/>
      <c r="D190" s="35" t="s">
        <v>396</v>
      </c>
      <c r="E190" s="31"/>
      <c r="F190" s="195">
        <f>50000-50000</f>
        <v>0</v>
      </c>
      <c r="G190" s="34"/>
      <c r="H190" s="85"/>
    </row>
    <row r="191" spans="1:8" s="1" customFormat="1" ht="15.75" customHeight="1" x14ac:dyDescent="0.25">
      <c r="A191" s="109"/>
      <c r="B191" s="41"/>
      <c r="C191" s="29"/>
      <c r="D191" s="30"/>
      <c r="E191" s="31"/>
      <c r="F191" s="195"/>
      <c r="G191" s="34"/>
      <c r="H191" s="85"/>
    </row>
    <row r="192" spans="1:8" s="1" customFormat="1" ht="30" hidden="1" customHeight="1" x14ac:dyDescent="0.25">
      <c r="A192" s="142">
        <v>117370</v>
      </c>
      <c r="B192" s="142">
        <v>7370</v>
      </c>
      <c r="C192" s="148"/>
      <c r="D192" s="125"/>
      <c r="E192" s="117">
        <f t="shared" ref="E192:G192" si="30">E193</f>
        <v>0</v>
      </c>
      <c r="F192" s="139">
        <f t="shared" si="30"/>
        <v>0</v>
      </c>
      <c r="G192" s="117">
        <f t="shared" si="30"/>
        <v>0</v>
      </c>
      <c r="H192" s="85" t="e">
        <f t="shared" si="22"/>
        <v>#DIV/0!</v>
      </c>
    </row>
    <row r="193" spans="1:8" s="1" customFormat="1" ht="31.5" hidden="1" customHeight="1" x14ac:dyDescent="0.25">
      <c r="A193" s="154"/>
      <c r="B193" s="142"/>
      <c r="C193" s="148"/>
      <c r="D193" s="36" t="s">
        <v>264</v>
      </c>
      <c r="E193" s="32">
        <f>E194</f>
        <v>0</v>
      </c>
      <c r="F193" s="140">
        <f>F194</f>
        <v>0</v>
      </c>
      <c r="G193" s="32">
        <f>G194</f>
        <v>0</v>
      </c>
      <c r="H193" s="85" t="e">
        <f t="shared" si="22"/>
        <v>#DIV/0!</v>
      </c>
    </row>
    <row r="194" spans="1:8" s="1" customFormat="1" ht="42.75" hidden="1" customHeight="1" x14ac:dyDescent="0.25">
      <c r="A194" s="154"/>
      <c r="B194" s="145"/>
      <c r="C194" s="143"/>
      <c r="D194" s="106"/>
      <c r="E194" s="155"/>
      <c r="F194" s="126"/>
      <c r="G194" s="34"/>
      <c r="H194" s="85" t="e">
        <f t="shared" si="22"/>
        <v>#DIV/0!</v>
      </c>
    </row>
    <row r="195" spans="1:8" s="1" customFormat="1" ht="19.5" hidden="1" customHeight="1" x14ac:dyDescent="0.25">
      <c r="A195" s="154"/>
      <c r="B195" s="145"/>
      <c r="C195" s="148"/>
      <c r="D195" s="106"/>
      <c r="E195" s="122"/>
      <c r="F195" s="122"/>
      <c r="G195" s="156"/>
      <c r="H195" s="85" t="e">
        <f t="shared" si="22"/>
        <v>#DIV/0!</v>
      </c>
    </row>
    <row r="196" spans="1:8" s="2" customFormat="1" ht="31.5" hidden="1" customHeight="1" x14ac:dyDescent="0.25">
      <c r="A196" s="142" t="s">
        <v>353</v>
      </c>
      <c r="B196" s="142">
        <v>8311</v>
      </c>
      <c r="C196" s="148"/>
      <c r="D196" s="125"/>
      <c r="E196" s="114">
        <f>E197</f>
        <v>0</v>
      </c>
      <c r="F196" s="61">
        <f>F197</f>
        <v>0</v>
      </c>
      <c r="G196" s="114">
        <f t="shared" ref="G196:G197" si="31">G197</f>
        <v>0</v>
      </c>
      <c r="H196" s="85" t="e">
        <f t="shared" si="22"/>
        <v>#DIV/0!</v>
      </c>
    </row>
    <row r="197" spans="1:8" s="2" customFormat="1" ht="31.5" hidden="1" customHeight="1" x14ac:dyDescent="0.25">
      <c r="A197" s="154"/>
      <c r="B197" s="143"/>
      <c r="C197" s="148"/>
      <c r="D197" s="36" t="s">
        <v>264</v>
      </c>
      <c r="E197" s="157">
        <f>E198</f>
        <v>0</v>
      </c>
      <c r="F197" s="119">
        <f>F198</f>
        <v>0</v>
      </c>
      <c r="G197" s="157">
        <f t="shared" si="31"/>
        <v>0</v>
      </c>
      <c r="H197" s="85" t="e">
        <f t="shared" si="22"/>
        <v>#DIV/0!</v>
      </c>
    </row>
    <row r="198" spans="1:8" s="2" customFormat="1" ht="31.5" hidden="1" customHeight="1" x14ac:dyDescent="0.25">
      <c r="A198" s="154"/>
      <c r="B198" s="143"/>
      <c r="C198" s="148"/>
      <c r="D198" s="125"/>
      <c r="E198" s="122"/>
      <c r="F198" s="359"/>
      <c r="G198" s="34"/>
      <c r="H198" s="85" t="e">
        <f t="shared" si="22"/>
        <v>#DIV/0!</v>
      </c>
    </row>
    <row r="199" spans="1:8" s="2" customFormat="1" ht="31.5" hidden="1" customHeight="1" x14ac:dyDescent="0.25">
      <c r="A199" s="158"/>
      <c r="B199" s="159"/>
      <c r="C199" s="160"/>
      <c r="D199" s="161"/>
      <c r="E199" s="149"/>
      <c r="F199" s="360"/>
      <c r="G199" s="162"/>
      <c r="H199" s="85" t="e">
        <f t="shared" si="22"/>
        <v>#DIV/0!</v>
      </c>
    </row>
    <row r="200" spans="1:8" s="2" customFormat="1" ht="40.5" customHeight="1" x14ac:dyDescent="0.25">
      <c r="A200" s="163" t="s">
        <v>269</v>
      </c>
      <c r="B200" s="164"/>
      <c r="C200" s="165"/>
      <c r="D200" s="166" t="s">
        <v>251</v>
      </c>
      <c r="E200" s="167">
        <f t="shared" ref="E200:G200" si="32">E201+E208+E221+E247</f>
        <v>5103343</v>
      </c>
      <c r="F200" s="167">
        <f>F201+F208+F221+F247</f>
        <v>4740243</v>
      </c>
      <c r="G200" s="168">
        <f t="shared" si="32"/>
        <v>3899073.3200000003</v>
      </c>
      <c r="H200" s="85">
        <f t="shared" si="22"/>
        <v>82.254713946099386</v>
      </c>
    </row>
    <row r="201" spans="1:8" s="4" customFormat="1" ht="34.5" customHeight="1" x14ac:dyDescent="0.25">
      <c r="A201" s="169" t="s">
        <v>270</v>
      </c>
      <c r="B201" s="170" t="s">
        <v>273</v>
      </c>
      <c r="C201" s="171"/>
      <c r="D201" s="166"/>
      <c r="E201" s="41">
        <f t="shared" ref="E201:G201" si="33">E202+E205</f>
        <v>50000</v>
      </c>
      <c r="F201" s="41">
        <f t="shared" si="33"/>
        <v>50000</v>
      </c>
      <c r="G201" s="40">
        <f t="shared" si="33"/>
        <v>0</v>
      </c>
      <c r="H201" s="85">
        <f t="shared" si="22"/>
        <v>0</v>
      </c>
    </row>
    <row r="202" spans="1:8" s="10" customFormat="1" ht="28.5" customHeight="1" x14ac:dyDescent="0.25">
      <c r="A202" s="169"/>
      <c r="B202" s="164"/>
      <c r="C202" s="171"/>
      <c r="D202" s="36" t="s">
        <v>252</v>
      </c>
      <c r="E202" s="120">
        <f>SUM(E203)</f>
        <v>50000</v>
      </c>
      <c r="F202" s="120">
        <f>SUM(F203:F204)</f>
        <v>50000</v>
      </c>
      <c r="G202" s="33">
        <f>SUM(G203:G204)</f>
        <v>0</v>
      </c>
      <c r="H202" s="85">
        <f t="shared" si="22"/>
        <v>0</v>
      </c>
    </row>
    <row r="203" spans="1:8" s="2" customFormat="1" ht="27" customHeight="1" x14ac:dyDescent="0.25">
      <c r="A203" s="154"/>
      <c r="B203" s="164"/>
      <c r="C203" s="171"/>
      <c r="D203" s="35" t="s">
        <v>452</v>
      </c>
      <c r="E203" s="31">
        <f>50000</f>
        <v>50000</v>
      </c>
      <c r="F203" s="195">
        <f>50000</f>
        <v>50000</v>
      </c>
      <c r="G203" s="34"/>
      <c r="H203" s="85">
        <f t="shared" ref="H203:H266" si="34">G203/F203*100</f>
        <v>0</v>
      </c>
    </row>
    <row r="204" spans="1:8" s="2" customFormat="1" ht="26.25" customHeight="1" x14ac:dyDescent="0.25">
      <c r="A204" s="154"/>
      <c r="B204" s="164"/>
      <c r="C204" s="171"/>
      <c r="D204" s="52"/>
      <c r="E204" s="34"/>
      <c r="F204" s="195"/>
      <c r="G204" s="34"/>
      <c r="H204" s="85"/>
    </row>
    <row r="205" spans="1:8" s="10" customFormat="1" ht="30.75" hidden="1" customHeight="1" x14ac:dyDescent="0.25">
      <c r="A205" s="154"/>
      <c r="B205" s="164"/>
      <c r="C205" s="171"/>
      <c r="D205" s="36" t="s">
        <v>253</v>
      </c>
      <c r="E205" s="32">
        <f t="shared" ref="E205:G205" si="35">SUM(E206:E206)</f>
        <v>0</v>
      </c>
      <c r="F205" s="140">
        <f t="shared" si="35"/>
        <v>0</v>
      </c>
      <c r="G205" s="32">
        <f t="shared" si="35"/>
        <v>0</v>
      </c>
      <c r="H205" s="85" t="e">
        <f t="shared" si="34"/>
        <v>#DIV/0!</v>
      </c>
    </row>
    <row r="206" spans="1:8" s="2" customFormat="1" ht="43.5" hidden="1" customHeight="1" x14ac:dyDescent="0.25">
      <c r="A206" s="154"/>
      <c r="B206" s="169"/>
      <c r="C206" s="171"/>
      <c r="D206" s="52"/>
      <c r="E206" s="126"/>
      <c r="F206" s="195"/>
      <c r="G206" s="34"/>
      <c r="H206" s="85" t="e">
        <f t="shared" si="34"/>
        <v>#DIV/0!</v>
      </c>
    </row>
    <row r="207" spans="1:8" s="2" customFormat="1" ht="25.5" hidden="1" customHeight="1" x14ac:dyDescent="0.25">
      <c r="A207" s="154"/>
      <c r="B207" s="169"/>
      <c r="C207" s="172"/>
      <c r="D207" s="173"/>
      <c r="E207" s="122"/>
      <c r="F207" s="361"/>
      <c r="G207" s="156"/>
      <c r="H207" s="85" t="e">
        <f t="shared" si="34"/>
        <v>#DIV/0!</v>
      </c>
    </row>
    <row r="208" spans="1:8" s="2" customFormat="1" ht="36.75" customHeight="1" x14ac:dyDescent="0.25">
      <c r="A208" s="169" t="s">
        <v>271</v>
      </c>
      <c r="B208" s="169" t="s">
        <v>274</v>
      </c>
      <c r="C208" s="172"/>
      <c r="D208" s="173"/>
      <c r="E208" s="175">
        <f>E209+E211</f>
        <v>1249842</v>
      </c>
      <c r="F208" s="362">
        <f>F209+F211+F218</f>
        <v>988942</v>
      </c>
      <c r="G208" s="175">
        <f>G209+G211+G218</f>
        <v>962359.31</v>
      </c>
      <c r="H208" s="85">
        <f t="shared" si="34"/>
        <v>97.312007175344974</v>
      </c>
    </row>
    <row r="209" spans="1:8" s="10" customFormat="1" ht="29.25" customHeight="1" x14ac:dyDescent="0.25">
      <c r="A209" s="154"/>
      <c r="B209" s="169"/>
      <c r="C209" s="172"/>
      <c r="D209" s="36" t="s">
        <v>252</v>
      </c>
      <c r="E209" s="176">
        <f t="shared" ref="E209:G209" si="36">SUM(E210)</f>
        <v>100000</v>
      </c>
      <c r="F209" s="363">
        <f t="shared" si="36"/>
        <v>24400</v>
      </c>
      <c r="G209" s="176">
        <f t="shared" si="36"/>
        <v>0</v>
      </c>
      <c r="H209" s="85">
        <f t="shared" si="34"/>
        <v>0</v>
      </c>
    </row>
    <row r="210" spans="1:8" s="2" customFormat="1" ht="27" customHeight="1" x14ac:dyDescent="0.25">
      <c r="A210" s="154"/>
      <c r="B210" s="164"/>
      <c r="C210" s="171"/>
      <c r="D210" s="44" t="s">
        <v>452</v>
      </c>
      <c r="E210" s="174">
        <f>100000</f>
        <v>100000</v>
      </c>
      <c r="F210" s="195">
        <f>100000-75600</f>
        <v>24400</v>
      </c>
      <c r="G210" s="34"/>
      <c r="H210" s="85">
        <f t="shared" si="34"/>
        <v>0</v>
      </c>
    </row>
    <row r="211" spans="1:8" s="10" customFormat="1" ht="35.25" customHeight="1" x14ac:dyDescent="0.25">
      <c r="A211" s="154"/>
      <c r="B211" s="164"/>
      <c r="C211" s="171"/>
      <c r="D211" s="36" t="s">
        <v>253</v>
      </c>
      <c r="E211" s="177">
        <f>SUM(E212:E220)</f>
        <v>1149842</v>
      </c>
      <c r="F211" s="364">
        <f>SUM(F212:F216)</f>
        <v>964542</v>
      </c>
      <c r="G211" s="177">
        <f>SUM(G212:G216)</f>
        <v>962359.31</v>
      </c>
      <c r="H211" s="85">
        <f t="shared" si="34"/>
        <v>99.773707106585306</v>
      </c>
    </row>
    <row r="212" spans="1:8" s="2" customFormat="1" ht="49.5" customHeight="1" x14ac:dyDescent="0.25">
      <c r="A212" s="154"/>
      <c r="B212" s="169"/>
      <c r="C212" s="171"/>
      <c r="D212" s="49" t="s">
        <v>453</v>
      </c>
      <c r="E212" s="108">
        <v>299000</v>
      </c>
      <c r="F212" s="195">
        <f>299000-87800</f>
        <v>211200</v>
      </c>
      <c r="G212" s="34">
        <f>205000+3043.89+3067.31</f>
        <v>211111.2</v>
      </c>
      <c r="H212" s="85">
        <f t="shared" si="34"/>
        <v>99.957954545454555</v>
      </c>
    </row>
    <row r="213" spans="1:8" s="2" customFormat="1" ht="51.75" customHeight="1" x14ac:dyDescent="0.25">
      <c r="A213" s="154"/>
      <c r="B213" s="169"/>
      <c r="C213" s="171"/>
      <c r="D213" s="178" t="s">
        <v>454</v>
      </c>
      <c r="E213" s="108">
        <v>152000</v>
      </c>
      <c r="F213" s="195">
        <f>152000</f>
        <v>152000</v>
      </c>
      <c r="G213" s="34">
        <f>147756+1761+1159</f>
        <v>150676</v>
      </c>
      <c r="H213" s="85">
        <f t="shared" si="34"/>
        <v>99.128947368421052</v>
      </c>
    </row>
    <row r="214" spans="1:8" s="2" customFormat="1" ht="49.5" customHeight="1" x14ac:dyDescent="0.25">
      <c r="A214" s="154"/>
      <c r="B214" s="169"/>
      <c r="C214" s="171"/>
      <c r="D214" s="49" t="s">
        <v>455</v>
      </c>
      <c r="E214" s="108">
        <v>299000</v>
      </c>
      <c r="F214" s="195">
        <f>299000-97500</f>
        <v>201500</v>
      </c>
      <c r="G214" s="34">
        <f>195990+3043.89+2452.22</f>
        <v>201486.11000000002</v>
      </c>
      <c r="H214" s="85">
        <f t="shared" si="34"/>
        <v>99.993106699751863</v>
      </c>
    </row>
    <row r="215" spans="1:8" s="2" customFormat="1" ht="46.5" customHeight="1" x14ac:dyDescent="0.25">
      <c r="A215" s="154"/>
      <c r="B215" s="169"/>
      <c r="C215" s="172"/>
      <c r="D215" s="44" t="s">
        <v>458</v>
      </c>
      <c r="E215" s="108">
        <v>299842</v>
      </c>
      <c r="F215" s="195">
        <f>299842</f>
        <v>299842</v>
      </c>
      <c r="G215" s="34">
        <f>289952+4160.32+4973.68</f>
        <v>299086</v>
      </c>
      <c r="H215" s="85">
        <f t="shared" si="34"/>
        <v>99.747867210063973</v>
      </c>
    </row>
    <row r="216" spans="1:8" s="2" customFormat="1" ht="53.25" customHeight="1" x14ac:dyDescent="0.25">
      <c r="A216" s="154"/>
      <c r="B216" s="169"/>
      <c r="C216" s="172"/>
      <c r="D216" s="179" t="s">
        <v>459</v>
      </c>
      <c r="E216" s="108">
        <v>100000</v>
      </c>
      <c r="F216" s="195">
        <f>100000</f>
        <v>100000</v>
      </c>
      <c r="G216" s="34">
        <f>98779+1221</f>
        <v>100000</v>
      </c>
      <c r="H216" s="85">
        <f t="shared" si="34"/>
        <v>100</v>
      </c>
    </row>
    <row r="217" spans="1:8" s="2" customFormat="1" ht="20.25" customHeight="1" x14ac:dyDescent="0.25">
      <c r="A217" s="154"/>
      <c r="B217" s="169"/>
      <c r="C217" s="172"/>
      <c r="D217" s="179"/>
      <c r="E217" s="180"/>
      <c r="F217" s="365"/>
      <c r="G217" s="34"/>
      <c r="H217" s="85"/>
    </row>
    <row r="218" spans="1:8" s="2" customFormat="1" ht="33" customHeight="1" x14ac:dyDescent="0.25">
      <c r="A218" s="154"/>
      <c r="B218" s="169"/>
      <c r="C218" s="172"/>
      <c r="D218" s="181" t="s">
        <v>264</v>
      </c>
      <c r="E218" s="182"/>
      <c r="F218" s="364">
        <f>F219</f>
        <v>0</v>
      </c>
      <c r="G218" s="33">
        <f>G219</f>
        <v>0</v>
      </c>
      <c r="H218" s="85"/>
    </row>
    <row r="219" spans="1:8" s="2" customFormat="1" ht="53.25" customHeight="1" x14ac:dyDescent="0.25">
      <c r="A219" s="154"/>
      <c r="B219" s="169"/>
      <c r="C219" s="172"/>
      <c r="D219" s="179" t="s">
        <v>397</v>
      </c>
      <c r="E219" s="180"/>
      <c r="F219" s="365">
        <f>170000-170000</f>
        <v>0</v>
      </c>
      <c r="G219" s="34"/>
      <c r="H219" s="85"/>
    </row>
    <row r="220" spans="1:8" s="2" customFormat="1" ht="18" customHeight="1" x14ac:dyDescent="0.25">
      <c r="A220" s="154"/>
      <c r="B220" s="169"/>
      <c r="C220" s="172"/>
      <c r="D220" s="125"/>
      <c r="E220" s="183"/>
      <c r="F220" s="365"/>
      <c r="G220" s="34"/>
      <c r="H220" s="85"/>
    </row>
    <row r="221" spans="1:8" s="2" customFormat="1" ht="46.5" customHeight="1" x14ac:dyDescent="0.25">
      <c r="A221" s="184" t="s">
        <v>144</v>
      </c>
      <c r="B221" s="169">
        <v>1021</v>
      </c>
      <c r="C221" s="172"/>
      <c r="D221" s="125"/>
      <c r="E221" s="117">
        <f>E222+E226</f>
        <v>3753501</v>
      </c>
      <c r="F221" s="139">
        <f>F222+F226+F244</f>
        <v>3701301</v>
      </c>
      <c r="G221" s="117">
        <f>G222+G226+G244</f>
        <v>2936714.0100000002</v>
      </c>
      <c r="H221" s="85">
        <f t="shared" si="34"/>
        <v>79.342750292397184</v>
      </c>
    </row>
    <row r="222" spans="1:8" s="10" customFormat="1" ht="35.25" customHeight="1" x14ac:dyDescent="0.25">
      <c r="A222" s="154"/>
      <c r="B222" s="169"/>
      <c r="C222" s="172"/>
      <c r="D222" s="36" t="s">
        <v>252</v>
      </c>
      <c r="E222" s="32">
        <f t="shared" ref="E222:G222" si="37">SUM(E223:E225)</f>
        <v>500000</v>
      </c>
      <c r="F222" s="140">
        <f t="shared" si="37"/>
        <v>72000</v>
      </c>
      <c r="G222" s="32">
        <f t="shared" si="37"/>
        <v>39914</v>
      </c>
      <c r="H222" s="85">
        <f t="shared" si="34"/>
        <v>55.43611111111111</v>
      </c>
    </row>
    <row r="223" spans="1:8" s="7" customFormat="1" ht="24.75" customHeight="1" x14ac:dyDescent="0.25">
      <c r="A223" s="154"/>
      <c r="B223" s="164"/>
      <c r="C223" s="171"/>
      <c r="D223" s="52" t="s">
        <v>452</v>
      </c>
      <c r="E223" s="31">
        <f>100000</f>
        <v>100000</v>
      </c>
      <c r="F223" s="195">
        <f>100000+50000-78000</f>
        <v>72000</v>
      </c>
      <c r="G223" s="34">
        <f>39914</f>
        <v>39914</v>
      </c>
      <c r="H223" s="85">
        <f t="shared" si="34"/>
        <v>55.43611111111111</v>
      </c>
    </row>
    <row r="224" spans="1:8" s="7" customFormat="1" ht="28.5" customHeight="1" x14ac:dyDescent="0.25">
      <c r="A224" s="154"/>
      <c r="B224" s="164"/>
      <c r="C224" s="171"/>
      <c r="D224" s="35" t="s">
        <v>462</v>
      </c>
      <c r="E224" s="31">
        <f>400000</f>
        <v>400000</v>
      </c>
      <c r="F224" s="195">
        <f>400000-400000</f>
        <v>0</v>
      </c>
      <c r="G224" s="34"/>
      <c r="H224" s="85"/>
    </row>
    <row r="225" spans="1:8" s="7" customFormat="1" ht="23.25" customHeight="1" x14ac:dyDescent="0.25">
      <c r="A225" s="154"/>
      <c r="B225" s="164"/>
      <c r="C225" s="171"/>
      <c r="D225" s="173"/>
      <c r="E225" s="126"/>
      <c r="F225" s="195"/>
      <c r="G225" s="34"/>
      <c r="H225" s="85"/>
    </row>
    <row r="226" spans="1:8" s="10" customFormat="1" ht="32.25" customHeight="1" x14ac:dyDescent="0.25">
      <c r="A226" s="154"/>
      <c r="B226" s="164"/>
      <c r="C226" s="171"/>
      <c r="D226" s="36" t="s">
        <v>253</v>
      </c>
      <c r="E226" s="32">
        <f>SUM(E229:E246)</f>
        <v>3253501</v>
      </c>
      <c r="F226" s="140">
        <f>SUM(F227:F243)</f>
        <v>3629301</v>
      </c>
      <c r="G226" s="32">
        <f>SUM(G227:G243)</f>
        <v>2896800.0100000002</v>
      </c>
      <c r="H226" s="85">
        <f t="shared" si="34"/>
        <v>79.817022892286985</v>
      </c>
    </row>
    <row r="227" spans="1:8" s="10" customFormat="1" ht="50.25" customHeight="1" x14ac:dyDescent="0.25">
      <c r="A227" s="154"/>
      <c r="B227" s="164"/>
      <c r="C227" s="171"/>
      <c r="D227" s="49" t="s">
        <v>225</v>
      </c>
      <c r="E227" s="32"/>
      <c r="F227" s="195">
        <f>22000-22000</f>
        <v>0</v>
      </c>
      <c r="G227" s="31"/>
      <c r="H227" s="85"/>
    </row>
    <row r="228" spans="1:8" s="10" customFormat="1" ht="49.5" customHeight="1" x14ac:dyDescent="0.25">
      <c r="A228" s="154"/>
      <c r="B228" s="164"/>
      <c r="C228" s="171"/>
      <c r="D228" s="49" t="s">
        <v>244</v>
      </c>
      <c r="E228" s="32"/>
      <c r="F228" s="195">
        <f>30000-30000</f>
        <v>0</v>
      </c>
      <c r="G228" s="32"/>
      <c r="H228" s="85"/>
    </row>
    <row r="229" spans="1:8" s="2" customFormat="1" ht="42.75" customHeight="1" x14ac:dyDescent="0.25">
      <c r="A229" s="154"/>
      <c r="B229" s="169"/>
      <c r="C229" s="171"/>
      <c r="D229" s="48" t="s">
        <v>0</v>
      </c>
      <c r="E229" s="185">
        <v>200000</v>
      </c>
      <c r="F229" s="195">
        <f>200000</f>
        <v>200000</v>
      </c>
      <c r="G229" s="34">
        <f>197554+2446</f>
        <v>200000</v>
      </c>
      <c r="H229" s="85">
        <f t="shared" si="34"/>
        <v>100</v>
      </c>
    </row>
    <row r="230" spans="1:8" s="2" customFormat="1" ht="50.25" customHeight="1" x14ac:dyDescent="0.25">
      <c r="A230" s="154"/>
      <c r="B230" s="169"/>
      <c r="C230" s="171"/>
      <c r="D230" s="44" t="s">
        <v>490</v>
      </c>
      <c r="E230" s="185"/>
      <c r="F230" s="195">
        <f>50000</f>
        <v>50000</v>
      </c>
      <c r="G230" s="34"/>
      <c r="H230" s="85">
        <f t="shared" si="34"/>
        <v>0</v>
      </c>
    </row>
    <row r="231" spans="1:8" s="2" customFormat="1" ht="57" customHeight="1" x14ac:dyDescent="0.25">
      <c r="A231" s="154"/>
      <c r="B231" s="169"/>
      <c r="C231" s="171"/>
      <c r="D231" s="48" t="s">
        <v>245</v>
      </c>
      <c r="E231" s="185"/>
      <c r="F231" s="195">
        <f>22000-22000</f>
        <v>0</v>
      </c>
      <c r="G231" s="34"/>
      <c r="H231" s="85"/>
    </row>
    <row r="232" spans="1:8" s="2" customFormat="1" ht="57" customHeight="1" x14ac:dyDescent="0.25">
      <c r="A232" s="154"/>
      <c r="B232" s="169"/>
      <c r="C232" s="171"/>
      <c r="D232" s="48" t="s">
        <v>246</v>
      </c>
      <c r="E232" s="185"/>
      <c r="F232" s="195">
        <f>26000-26000</f>
        <v>0</v>
      </c>
      <c r="G232" s="34"/>
      <c r="H232" s="85"/>
    </row>
    <row r="233" spans="1:8" s="2" customFormat="1" ht="51" customHeight="1" x14ac:dyDescent="0.25">
      <c r="A233" s="154"/>
      <c r="B233" s="169"/>
      <c r="C233" s="171"/>
      <c r="D233" s="51" t="s">
        <v>1</v>
      </c>
      <c r="E233" s="185">
        <v>1000000</v>
      </c>
      <c r="F233" s="195">
        <f>1000000-50000</f>
        <v>950000</v>
      </c>
      <c r="G233" s="34">
        <f>39789+236020+10556+418880+6442</f>
        <v>711687</v>
      </c>
      <c r="H233" s="85">
        <f t="shared" si="34"/>
        <v>74.914421052631582</v>
      </c>
    </row>
    <row r="234" spans="1:8" s="2" customFormat="1" ht="51" customHeight="1" x14ac:dyDescent="0.25">
      <c r="A234" s="154"/>
      <c r="B234" s="169"/>
      <c r="C234" s="171"/>
      <c r="D234" s="49" t="s">
        <v>469</v>
      </c>
      <c r="E234" s="185"/>
      <c r="F234" s="195">
        <f>276000</f>
        <v>276000</v>
      </c>
      <c r="G234" s="34"/>
      <c r="H234" s="85">
        <f t="shared" si="34"/>
        <v>0</v>
      </c>
    </row>
    <row r="235" spans="1:8" s="2" customFormat="1" ht="36" customHeight="1" x14ac:dyDescent="0.25">
      <c r="A235" s="154"/>
      <c r="B235" s="169"/>
      <c r="C235" s="171"/>
      <c r="D235" s="51" t="s">
        <v>247</v>
      </c>
      <c r="E235" s="185"/>
      <c r="F235" s="195">
        <f>49800</f>
        <v>49800</v>
      </c>
      <c r="G235" s="34"/>
      <c r="H235" s="85">
        <f t="shared" si="34"/>
        <v>0</v>
      </c>
    </row>
    <row r="236" spans="1:8" s="2" customFormat="1" ht="54" customHeight="1" x14ac:dyDescent="0.25">
      <c r="A236" s="154"/>
      <c r="B236" s="169"/>
      <c r="C236" s="172"/>
      <c r="D236" s="50" t="s">
        <v>2</v>
      </c>
      <c r="E236" s="185">
        <v>800000</v>
      </c>
      <c r="F236" s="195">
        <f>800000</f>
        <v>800000</v>
      </c>
      <c r="G236" s="34">
        <f>24790+3994+754006+9866.9</f>
        <v>792656.9</v>
      </c>
      <c r="H236" s="85">
        <f t="shared" si="34"/>
        <v>99.082112500000008</v>
      </c>
    </row>
    <row r="237" spans="1:8" s="2" customFormat="1" ht="54" customHeight="1" x14ac:dyDescent="0.25">
      <c r="A237" s="154"/>
      <c r="B237" s="169"/>
      <c r="C237" s="172"/>
      <c r="D237" s="44" t="s">
        <v>491</v>
      </c>
      <c r="E237" s="185"/>
      <c r="F237" s="195">
        <f>50000</f>
        <v>50000</v>
      </c>
      <c r="G237" s="34"/>
      <c r="H237" s="85">
        <f t="shared" si="34"/>
        <v>0</v>
      </c>
    </row>
    <row r="238" spans="1:8" s="2" customFormat="1" ht="42.75" customHeight="1" x14ac:dyDescent="0.25">
      <c r="A238" s="154"/>
      <c r="B238" s="169"/>
      <c r="C238" s="172"/>
      <c r="D238" s="50" t="s">
        <v>248</v>
      </c>
      <c r="E238" s="185"/>
      <c r="F238" s="195">
        <f>26000-26000</f>
        <v>0</v>
      </c>
      <c r="G238" s="34"/>
      <c r="H238" s="85"/>
    </row>
    <row r="239" spans="1:8" s="2" customFormat="1" ht="39.75" customHeight="1" x14ac:dyDescent="0.25">
      <c r="A239" s="154"/>
      <c r="B239" s="169"/>
      <c r="C239" s="172"/>
      <c r="D239" s="186" t="s">
        <v>3</v>
      </c>
      <c r="E239" s="185">
        <v>100000</v>
      </c>
      <c r="F239" s="195">
        <f>100000</f>
        <v>100000</v>
      </c>
      <c r="G239" s="34">
        <f>98777+1223</f>
        <v>100000</v>
      </c>
      <c r="H239" s="85">
        <f t="shared" si="34"/>
        <v>100</v>
      </c>
    </row>
    <row r="240" spans="1:8" s="2" customFormat="1" ht="48.75" customHeight="1" x14ac:dyDescent="0.25">
      <c r="A240" s="154"/>
      <c r="B240" s="169"/>
      <c r="C240" s="172"/>
      <c r="D240" s="51" t="s">
        <v>249</v>
      </c>
      <c r="E240" s="185"/>
      <c r="F240" s="195">
        <f>24000-24000</f>
        <v>0</v>
      </c>
      <c r="G240" s="34"/>
      <c r="H240" s="85"/>
    </row>
    <row r="241" spans="1:8" s="2" customFormat="1" ht="47.25" x14ac:dyDescent="0.25">
      <c r="A241" s="154"/>
      <c r="B241" s="169"/>
      <c r="C241" s="172"/>
      <c r="D241" s="48" t="s">
        <v>4</v>
      </c>
      <c r="E241" s="185">
        <v>653501</v>
      </c>
      <c r="F241" s="195">
        <f>653501</f>
        <v>653501</v>
      </c>
      <c r="G241" s="34">
        <f>395083.2+4916.8+233477.8+2913.65</f>
        <v>636391.45000000007</v>
      </c>
      <c r="H241" s="85">
        <f t="shared" si="34"/>
        <v>97.38186322591703</v>
      </c>
    </row>
    <row r="242" spans="1:8" s="2" customFormat="1" ht="38.25" customHeight="1" x14ac:dyDescent="0.25">
      <c r="A242" s="154"/>
      <c r="B242" s="169"/>
      <c r="C242" s="172"/>
      <c r="D242" s="48" t="s">
        <v>5</v>
      </c>
      <c r="E242" s="185">
        <v>500000</v>
      </c>
      <c r="F242" s="195">
        <f>500000-500000</f>
        <v>0</v>
      </c>
      <c r="G242" s="34"/>
      <c r="H242" s="85"/>
    </row>
    <row r="243" spans="1:8" s="2" customFormat="1" ht="66" customHeight="1" x14ac:dyDescent="0.25">
      <c r="A243" s="154"/>
      <c r="B243" s="169"/>
      <c r="C243" s="172"/>
      <c r="D243" s="48" t="s">
        <v>183</v>
      </c>
      <c r="E243" s="185"/>
      <c r="F243" s="195">
        <f>500000</f>
        <v>500000</v>
      </c>
      <c r="G243" s="34">
        <f>4008+294647.86+157408.8</f>
        <v>456064.66</v>
      </c>
      <c r="H243" s="85">
        <f t="shared" si="34"/>
        <v>91.212931999999995</v>
      </c>
    </row>
    <row r="244" spans="1:8" s="2" customFormat="1" ht="30" customHeight="1" x14ac:dyDescent="0.25">
      <c r="A244" s="154"/>
      <c r="B244" s="169"/>
      <c r="C244" s="172"/>
      <c r="D244" s="181" t="s">
        <v>264</v>
      </c>
      <c r="E244" s="185"/>
      <c r="F244" s="140">
        <f>F245</f>
        <v>0</v>
      </c>
      <c r="G244" s="32">
        <f>G245</f>
        <v>0</v>
      </c>
      <c r="H244" s="85"/>
    </row>
    <row r="245" spans="1:8" s="2" customFormat="1" ht="51.75" customHeight="1" x14ac:dyDescent="0.25">
      <c r="A245" s="154"/>
      <c r="B245" s="169"/>
      <c r="C245" s="172"/>
      <c r="D245" s="179" t="s">
        <v>398</v>
      </c>
      <c r="E245" s="185"/>
      <c r="F245" s="195">
        <f>170000-170000</f>
        <v>0</v>
      </c>
      <c r="G245" s="34"/>
      <c r="H245" s="85"/>
    </row>
    <row r="246" spans="1:8" s="2" customFormat="1" ht="21.75" customHeight="1" x14ac:dyDescent="0.25">
      <c r="A246" s="154"/>
      <c r="B246" s="169"/>
      <c r="C246" s="172"/>
      <c r="D246" s="125"/>
      <c r="E246" s="126"/>
      <c r="F246" s="195"/>
      <c r="G246" s="34"/>
      <c r="H246" s="85"/>
    </row>
    <row r="247" spans="1:8" s="2" customFormat="1" ht="33" customHeight="1" x14ac:dyDescent="0.25">
      <c r="A247" s="184" t="s">
        <v>6</v>
      </c>
      <c r="B247" s="169">
        <v>1070</v>
      </c>
      <c r="C247" s="172"/>
      <c r="D247" s="125"/>
      <c r="E247" s="175">
        <f t="shared" ref="E247:G247" si="38">E248+E251</f>
        <v>50000</v>
      </c>
      <c r="F247" s="362">
        <f t="shared" si="38"/>
        <v>0</v>
      </c>
      <c r="G247" s="175">
        <f t="shared" si="38"/>
        <v>0</v>
      </c>
      <c r="H247" s="85"/>
    </row>
    <row r="248" spans="1:8" s="2" customFormat="1" ht="31.5" customHeight="1" x14ac:dyDescent="0.25">
      <c r="A248" s="154"/>
      <c r="B248" s="169"/>
      <c r="C248" s="172"/>
      <c r="D248" s="36" t="s">
        <v>252</v>
      </c>
      <c r="E248" s="176">
        <f t="shared" ref="E248:G248" si="39">SUM(E249)</f>
        <v>50000</v>
      </c>
      <c r="F248" s="363">
        <f t="shared" si="39"/>
        <v>0</v>
      </c>
      <c r="G248" s="176">
        <f t="shared" si="39"/>
        <v>0</v>
      </c>
      <c r="H248" s="85"/>
    </row>
    <row r="249" spans="1:8" s="2" customFormat="1" ht="31.5" customHeight="1" x14ac:dyDescent="0.25">
      <c r="A249" s="154"/>
      <c r="B249" s="169"/>
      <c r="C249" s="172"/>
      <c r="D249" s="48" t="s">
        <v>7</v>
      </c>
      <c r="E249" s="187">
        <f>50000</f>
        <v>50000</v>
      </c>
      <c r="F249" s="361">
        <f>50000-50000</f>
        <v>0</v>
      </c>
      <c r="G249" s="176"/>
      <c r="H249" s="85"/>
    </row>
    <row r="250" spans="1:8" s="2" customFormat="1" ht="15.75" customHeight="1" x14ac:dyDescent="0.25">
      <c r="A250" s="154"/>
      <c r="B250" s="169"/>
      <c r="C250" s="172"/>
      <c r="D250" s="48"/>
      <c r="E250" s="187"/>
      <c r="F250" s="363"/>
      <c r="G250" s="176"/>
      <c r="H250" s="85"/>
    </row>
    <row r="251" spans="1:8" s="2" customFormat="1" ht="31.5" hidden="1" customHeight="1" x14ac:dyDescent="0.25">
      <c r="A251" s="154"/>
      <c r="B251" s="169"/>
      <c r="C251" s="172"/>
      <c r="D251" s="36" t="s">
        <v>253</v>
      </c>
      <c r="E251" s="176">
        <f t="shared" ref="E251:G251" si="40">SUM(E252)</f>
        <v>0</v>
      </c>
      <c r="F251" s="363">
        <f t="shared" si="40"/>
        <v>0</v>
      </c>
      <c r="G251" s="176">
        <f t="shared" si="40"/>
        <v>0</v>
      </c>
      <c r="H251" s="85" t="e">
        <f t="shared" si="34"/>
        <v>#DIV/0!</v>
      </c>
    </row>
    <row r="252" spans="1:8" s="2" customFormat="1" ht="36.75" hidden="1" customHeight="1" x14ac:dyDescent="0.25">
      <c r="A252" s="154"/>
      <c r="B252" s="164"/>
      <c r="C252" s="171"/>
      <c r="D252" s="106"/>
      <c r="E252" s="187"/>
      <c r="F252" s="361"/>
      <c r="G252" s="34"/>
      <c r="H252" s="85" t="e">
        <f t="shared" si="34"/>
        <v>#DIV/0!</v>
      </c>
    </row>
    <row r="253" spans="1:8" s="2" customFormat="1" ht="24.75" hidden="1" customHeight="1" x14ac:dyDescent="0.25">
      <c r="A253" s="154"/>
      <c r="B253" s="171"/>
      <c r="C253" s="171"/>
      <c r="D253" s="125"/>
      <c r="E253" s="122"/>
      <c r="F253" s="361"/>
      <c r="G253" s="34"/>
      <c r="H253" s="85" t="e">
        <f t="shared" si="34"/>
        <v>#DIV/0!</v>
      </c>
    </row>
    <row r="254" spans="1:8" s="2" customFormat="1" ht="29.25" customHeight="1" x14ac:dyDescent="0.25">
      <c r="A254" s="188" t="s">
        <v>275</v>
      </c>
      <c r="B254" s="189"/>
      <c r="C254" s="171"/>
      <c r="D254" s="190" t="s">
        <v>255</v>
      </c>
      <c r="E254" s="191">
        <f t="shared" ref="E254:G254" si="41">E255+E259</f>
        <v>88000</v>
      </c>
      <c r="F254" s="366">
        <f t="shared" si="41"/>
        <v>782056</v>
      </c>
      <c r="G254" s="191">
        <f t="shared" si="41"/>
        <v>782055.03</v>
      </c>
      <c r="H254" s="85">
        <f t="shared" si="34"/>
        <v>99.999875967961387</v>
      </c>
    </row>
    <row r="255" spans="1:8" s="2" customFormat="1" ht="29.25" customHeight="1" x14ac:dyDescent="0.25">
      <c r="A255" s="192" t="s">
        <v>310</v>
      </c>
      <c r="B255" s="170" t="s">
        <v>273</v>
      </c>
      <c r="C255" s="171"/>
      <c r="D255" s="166"/>
      <c r="E255" s="41">
        <f t="shared" ref="E255:G255" si="42">E256</f>
        <v>50000</v>
      </c>
      <c r="F255" s="41">
        <f t="shared" si="42"/>
        <v>0</v>
      </c>
      <c r="G255" s="40">
        <f t="shared" si="42"/>
        <v>0</v>
      </c>
      <c r="H255" s="85"/>
    </row>
    <row r="256" spans="1:8" s="2" customFormat="1" ht="29.25" customHeight="1" x14ac:dyDescent="0.25">
      <c r="A256" s="169"/>
      <c r="B256" s="164"/>
      <c r="C256" s="171"/>
      <c r="D256" s="36" t="s">
        <v>252</v>
      </c>
      <c r="E256" s="120">
        <f t="shared" ref="E256:G256" si="43">SUM(E257)</f>
        <v>50000</v>
      </c>
      <c r="F256" s="120">
        <f t="shared" si="43"/>
        <v>0</v>
      </c>
      <c r="G256" s="33">
        <f t="shared" si="43"/>
        <v>0</v>
      </c>
      <c r="H256" s="85"/>
    </row>
    <row r="257" spans="1:8" s="2" customFormat="1" ht="29.25" customHeight="1" x14ac:dyDescent="0.25">
      <c r="A257" s="154"/>
      <c r="B257" s="164"/>
      <c r="C257" s="171"/>
      <c r="D257" s="44" t="s">
        <v>452</v>
      </c>
      <c r="E257" s="174">
        <f>50000</f>
        <v>50000</v>
      </c>
      <c r="F257" s="195">
        <f>50000-50000</f>
        <v>0</v>
      </c>
      <c r="G257" s="34"/>
      <c r="H257" s="85"/>
    </row>
    <row r="258" spans="1:8" s="2" customFormat="1" ht="21.75" customHeight="1" x14ac:dyDescent="0.25">
      <c r="A258" s="154"/>
      <c r="B258" s="164"/>
      <c r="C258" s="171"/>
      <c r="D258" s="193"/>
      <c r="E258" s="31"/>
      <c r="F258" s="195"/>
      <c r="G258" s="34"/>
      <c r="H258" s="85"/>
    </row>
    <row r="259" spans="1:8" s="11" customFormat="1" ht="42.75" customHeight="1" x14ac:dyDescent="0.25">
      <c r="A259" s="171" t="s">
        <v>276</v>
      </c>
      <c r="B259" s="28">
        <v>3105</v>
      </c>
      <c r="C259" s="171"/>
      <c r="D259" s="125"/>
      <c r="E259" s="32">
        <f t="shared" ref="E259:G260" si="44">E260</f>
        <v>38000</v>
      </c>
      <c r="F259" s="140">
        <f>F260+F263</f>
        <v>782056</v>
      </c>
      <c r="G259" s="32">
        <f>G260+G263</f>
        <v>782055.03</v>
      </c>
      <c r="H259" s="85">
        <f t="shared" si="34"/>
        <v>99.999875967961387</v>
      </c>
    </row>
    <row r="260" spans="1:8" s="11" customFormat="1" ht="24.75" customHeight="1" x14ac:dyDescent="0.25">
      <c r="A260" s="169"/>
      <c r="B260" s="164"/>
      <c r="C260" s="171"/>
      <c r="D260" s="36" t="s">
        <v>252</v>
      </c>
      <c r="E260" s="120">
        <f>E261</f>
        <v>38000</v>
      </c>
      <c r="F260" s="120">
        <f t="shared" si="44"/>
        <v>0</v>
      </c>
      <c r="G260" s="120">
        <f t="shared" si="44"/>
        <v>0</v>
      </c>
      <c r="H260" s="85"/>
    </row>
    <row r="261" spans="1:8" s="11" customFormat="1" ht="23.25" customHeight="1" x14ac:dyDescent="0.25">
      <c r="A261" s="154"/>
      <c r="B261" s="164"/>
      <c r="C261" s="171"/>
      <c r="D261" s="44" t="s">
        <v>452</v>
      </c>
      <c r="E261" s="31">
        <f>38000</f>
        <v>38000</v>
      </c>
      <c r="F261" s="195">
        <f>38000-38000</f>
        <v>0</v>
      </c>
      <c r="G261" s="34"/>
      <c r="H261" s="85"/>
    </row>
    <row r="262" spans="1:8" s="11" customFormat="1" ht="13.5" customHeight="1" x14ac:dyDescent="0.25">
      <c r="A262" s="154"/>
      <c r="B262" s="164"/>
      <c r="C262" s="171"/>
      <c r="D262" s="193"/>
      <c r="E262" s="31"/>
      <c r="F262" s="195"/>
      <c r="G262" s="34"/>
      <c r="H262" s="85"/>
    </row>
    <row r="263" spans="1:8" s="11" customFormat="1" ht="21.75" customHeight="1" x14ac:dyDescent="0.25">
      <c r="A263" s="169"/>
      <c r="B263" s="164"/>
      <c r="C263" s="171"/>
      <c r="D263" s="36" t="s">
        <v>253</v>
      </c>
      <c r="E263" s="120">
        <f t="shared" ref="E263:G263" si="45">E264</f>
        <v>0</v>
      </c>
      <c r="F263" s="120">
        <f t="shared" si="45"/>
        <v>782056</v>
      </c>
      <c r="G263" s="120">
        <f t="shared" si="45"/>
        <v>782055.03</v>
      </c>
      <c r="H263" s="85">
        <f t="shared" si="34"/>
        <v>99.999875967961387</v>
      </c>
    </row>
    <row r="264" spans="1:8" s="11" customFormat="1" ht="56.25" customHeight="1" x14ac:dyDescent="0.25">
      <c r="A264" s="154"/>
      <c r="B264" s="154"/>
      <c r="C264" s="171"/>
      <c r="D264" s="67" t="s">
        <v>440</v>
      </c>
      <c r="E264" s="31"/>
      <c r="F264" s="195">
        <f>650000+268000-135944</f>
        <v>782056</v>
      </c>
      <c r="G264" s="34">
        <f>20047.03+4008+409958+5942+333137+4862.78+4100.22</f>
        <v>782055.03</v>
      </c>
      <c r="H264" s="85">
        <f t="shared" si="34"/>
        <v>99.999875967961387</v>
      </c>
    </row>
    <row r="265" spans="1:8" s="2" customFormat="1" ht="15.75" customHeight="1" x14ac:dyDescent="0.25">
      <c r="A265" s="154"/>
      <c r="B265" s="171"/>
      <c r="C265" s="171"/>
      <c r="D265" s="194"/>
      <c r="E265" s="195"/>
      <c r="F265" s="195"/>
      <c r="G265" s="34"/>
      <c r="H265" s="85"/>
    </row>
    <row r="266" spans="1:8" s="2" customFormat="1" ht="30.75" customHeight="1" x14ac:dyDescent="0.3">
      <c r="A266" s="196" t="s">
        <v>277</v>
      </c>
      <c r="B266" s="196"/>
      <c r="C266" s="196"/>
      <c r="D266" s="190" t="s">
        <v>311</v>
      </c>
      <c r="E266" s="197">
        <f t="shared" ref="E266:G266" si="46">E270+E279+E289+E296+E306+E310+E316</f>
        <v>400000</v>
      </c>
      <c r="F266" s="197">
        <f t="shared" si="46"/>
        <v>840000</v>
      </c>
      <c r="G266" s="198">
        <f t="shared" si="46"/>
        <v>216787.89</v>
      </c>
      <c r="H266" s="85">
        <f t="shared" si="34"/>
        <v>25.808082142857145</v>
      </c>
    </row>
    <row r="267" spans="1:8" s="2" customFormat="1" ht="32.25" hidden="1" customHeight="1" x14ac:dyDescent="0.25">
      <c r="A267" s="171" t="s">
        <v>278</v>
      </c>
      <c r="B267" s="28" t="s">
        <v>273</v>
      </c>
      <c r="C267" s="199"/>
      <c r="D267" s="149"/>
      <c r="E267" s="41">
        <f t="shared" ref="E267:G267" si="47">E268</f>
        <v>0</v>
      </c>
      <c r="F267" s="41">
        <f t="shared" si="47"/>
        <v>0</v>
      </c>
      <c r="G267" s="40">
        <f t="shared" si="47"/>
        <v>0</v>
      </c>
      <c r="H267" s="85" t="e">
        <f t="shared" ref="H267:H330" si="48">G267/F267*100</f>
        <v>#DIV/0!</v>
      </c>
    </row>
    <row r="268" spans="1:8" s="10" customFormat="1" ht="29.25" hidden="1" customHeight="1" x14ac:dyDescent="0.25">
      <c r="A268" s="171"/>
      <c r="B268" s="28"/>
      <c r="C268" s="199"/>
      <c r="D268" s="36" t="s">
        <v>252</v>
      </c>
      <c r="E268" s="120">
        <f t="shared" ref="E268:G268" si="49">SUM(E269)</f>
        <v>0</v>
      </c>
      <c r="F268" s="120">
        <f t="shared" si="49"/>
        <v>0</v>
      </c>
      <c r="G268" s="33">
        <f t="shared" si="49"/>
        <v>0</v>
      </c>
      <c r="H268" s="85" t="e">
        <f t="shared" si="48"/>
        <v>#DIV/0!</v>
      </c>
    </row>
    <row r="269" spans="1:8" s="2" customFormat="1" ht="45.75" hidden="1" customHeight="1" x14ac:dyDescent="0.25">
      <c r="A269" s="154"/>
      <c r="B269" s="164"/>
      <c r="C269" s="171"/>
      <c r="D269" s="173"/>
      <c r="E269" s="126"/>
      <c r="F269" s="195"/>
      <c r="G269" s="34"/>
      <c r="H269" s="85" t="e">
        <f t="shared" si="48"/>
        <v>#DIV/0!</v>
      </c>
    </row>
    <row r="270" spans="1:8" s="2" customFormat="1" ht="27" hidden="1" customHeight="1" x14ac:dyDescent="0.25">
      <c r="A270" s="171" t="s">
        <v>282</v>
      </c>
      <c r="B270" s="28">
        <v>1100</v>
      </c>
      <c r="C270" s="171"/>
      <c r="D270" s="200"/>
      <c r="E270" s="175">
        <f t="shared" ref="E270:G270" si="50">E271+E274</f>
        <v>0</v>
      </c>
      <c r="F270" s="362">
        <f t="shared" si="50"/>
        <v>0</v>
      </c>
      <c r="G270" s="175">
        <f t="shared" si="50"/>
        <v>0</v>
      </c>
      <c r="H270" s="85" t="e">
        <f t="shared" si="48"/>
        <v>#DIV/0!</v>
      </c>
    </row>
    <row r="271" spans="1:8" s="2" customFormat="1" ht="26.25" hidden="1" customHeight="1" x14ac:dyDescent="0.25">
      <c r="A271" s="171"/>
      <c r="B271" s="28"/>
      <c r="C271" s="171"/>
      <c r="D271" s="36" t="s">
        <v>252</v>
      </c>
      <c r="E271" s="176">
        <f t="shared" ref="E271:G271" si="51">SUM(E272:E273)</f>
        <v>0</v>
      </c>
      <c r="F271" s="363">
        <f t="shared" si="51"/>
        <v>0</v>
      </c>
      <c r="G271" s="176">
        <f t="shared" si="51"/>
        <v>0</v>
      </c>
      <c r="H271" s="85" t="e">
        <f t="shared" si="48"/>
        <v>#DIV/0!</v>
      </c>
    </row>
    <row r="272" spans="1:8" s="20" customFormat="1" ht="36" hidden="1" customHeight="1" x14ac:dyDescent="0.25">
      <c r="A272" s="154"/>
      <c r="B272" s="201"/>
      <c r="C272" s="201"/>
      <c r="D272" s="48"/>
      <c r="E272" s="187"/>
      <c r="F272" s="195"/>
      <c r="G272" s="34"/>
      <c r="H272" s="85" t="e">
        <f t="shared" si="48"/>
        <v>#DIV/0!</v>
      </c>
    </row>
    <row r="273" spans="1:8" s="2" customFormat="1" ht="24" hidden="1" customHeight="1" x14ac:dyDescent="0.25">
      <c r="A273" s="154"/>
      <c r="B273" s="171"/>
      <c r="C273" s="171"/>
      <c r="D273" s="173"/>
      <c r="E273" s="126"/>
      <c r="F273" s="195"/>
      <c r="G273" s="34"/>
      <c r="H273" s="85" t="e">
        <f t="shared" si="48"/>
        <v>#DIV/0!</v>
      </c>
    </row>
    <row r="274" spans="1:8" s="10" customFormat="1" ht="24" hidden="1" customHeight="1" x14ac:dyDescent="0.25">
      <c r="A274" s="154"/>
      <c r="B274" s="171"/>
      <c r="C274" s="171"/>
      <c r="D274" s="36" t="s">
        <v>253</v>
      </c>
      <c r="E274" s="32">
        <f t="shared" ref="E274:G274" si="52">SUM(E275:E277)</f>
        <v>0</v>
      </c>
      <c r="F274" s="140">
        <f t="shared" si="52"/>
        <v>0</v>
      </c>
      <c r="G274" s="32">
        <f t="shared" si="52"/>
        <v>0</v>
      </c>
      <c r="H274" s="85" t="e">
        <f t="shared" si="48"/>
        <v>#DIV/0!</v>
      </c>
    </row>
    <row r="275" spans="1:8" s="4" customFormat="1" ht="52.5" hidden="1" customHeight="1" x14ac:dyDescent="0.25">
      <c r="A275" s="154"/>
      <c r="B275" s="171"/>
      <c r="C275" s="171"/>
      <c r="D275" s="106"/>
      <c r="E275" s="134"/>
      <c r="F275" s="195"/>
      <c r="G275" s="32"/>
      <c r="H275" s="85" t="e">
        <f t="shared" si="48"/>
        <v>#DIV/0!</v>
      </c>
    </row>
    <row r="276" spans="1:8" s="2" customFormat="1" ht="52.5" hidden="1" customHeight="1" x14ac:dyDescent="0.25">
      <c r="A276" s="154"/>
      <c r="B276" s="171"/>
      <c r="C276" s="171"/>
      <c r="D276" s="106"/>
      <c r="E276" s="134"/>
      <c r="F276" s="195"/>
      <c r="G276" s="34"/>
      <c r="H276" s="85" t="e">
        <f t="shared" si="48"/>
        <v>#DIV/0!</v>
      </c>
    </row>
    <row r="277" spans="1:8" s="2" customFormat="1" ht="34.5" hidden="1" customHeight="1" x14ac:dyDescent="0.25">
      <c r="A277" s="109"/>
      <c r="B277" s="120"/>
      <c r="C277" s="120"/>
      <c r="D277" s="135"/>
      <c r="E277" s="134"/>
      <c r="F277" s="195"/>
      <c r="G277" s="31"/>
      <c r="H277" s="85" t="e">
        <f t="shared" si="48"/>
        <v>#DIV/0!</v>
      </c>
    </row>
    <row r="278" spans="1:8" s="2" customFormat="1" ht="18.75" x14ac:dyDescent="0.25">
      <c r="A278" s="109"/>
      <c r="B278" s="120"/>
      <c r="C278" s="120"/>
      <c r="D278" s="173"/>
      <c r="E278" s="122"/>
      <c r="F278" s="361"/>
      <c r="G278" s="174"/>
      <c r="H278" s="85"/>
    </row>
    <row r="279" spans="1:8" s="2" customFormat="1" ht="25.5" customHeight="1" x14ac:dyDescent="0.25">
      <c r="A279" s="171" t="s">
        <v>279</v>
      </c>
      <c r="B279" s="171" t="s">
        <v>283</v>
      </c>
      <c r="C279" s="171"/>
      <c r="D279" s="173"/>
      <c r="E279" s="175">
        <f>E280</f>
        <v>100000</v>
      </c>
      <c r="F279" s="362">
        <f>F280+F284</f>
        <v>440000</v>
      </c>
      <c r="G279" s="175">
        <f>G280+G284</f>
        <v>166937.89000000001</v>
      </c>
      <c r="H279" s="85">
        <f t="shared" si="48"/>
        <v>37.940429545454549</v>
      </c>
    </row>
    <row r="280" spans="1:8" s="10" customFormat="1" ht="24" customHeight="1" x14ac:dyDescent="0.25">
      <c r="A280" s="171"/>
      <c r="B280" s="171"/>
      <c r="C280" s="171"/>
      <c r="D280" s="36" t="s">
        <v>252</v>
      </c>
      <c r="E280" s="176">
        <f t="shared" ref="E280:G280" si="53">SUM(E282)</f>
        <v>100000</v>
      </c>
      <c r="F280" s="363">
        <f t="shared" si="53"/>
        <v>100000</v>
      </c>
      <c r="G280" s="176">
        <f t="shared" si="53"/>
        <v>100000</v>
      </c>
      <c r="H280" s="85">
        <f t="shared" si="48"/>
        <v>100</v>
      </c>
    </row>
    <row r="281" spans="1:8" s="10" customFormat="1" ht="34.5" hidden="1" customHeight="1" x14ac:dyDescent="0.25">
      <c r="A281" s="154"/>
      <c r="B281" s="164"/>
      <c r="C281" s="171"/>
      <c r="D281" s="36" t="s">
        <v>253</v>
      </c>
      <c r="E281" s="174">
        <f t="shared" ref="E281:G281" si="54">E282</f>
        <v>100000</v>
      </c>
      <c r="F281" s="361">
        <f t="shared" si="54"/>
        <v>100000</v>
      </c>
      <c r="G281" s="174">
        <f t="shared" si="54"/>
        <v>100000</v>
      </c>
      <c r="H281" s="85">
        <f t="shared" si="48"/>
        <v>100</v>
      </c>
    </row>
    <row r="282" spans="1:8" s="2" customFormat="1" ht="18.75" customHeight="1" x14ac:dyDescent="0.25">
      <c r="A282" s="154"/>
      <c r="B282" s="164"/>
      <c r="C282" s="171"/>
      <c r="D282" s="44" t="s">
        <v>452</v>
      </c>
      <c r="E282" s="174">
        <f>100000</f>
        <v>100000</v>
      </c>
      <c r="F282" s="361">
        <f>100000</f>
        <v>100000</v>
      </c>
      <c r="G282" s="156">
        <f>100000</f>
        <v>100000</v>
      </c>
      <c r="H282" s="85">
        <f t="shared" si="48"/>
        <v>100</v>
      </c>
    </row>
    <row r="283" spans="1:8" s="2" customFormat="1" ht="18.75" customHeight="1" x14ac:dyDescent="0.25">
      <c r="A283" s="154"/>
      <c r="B283" s="164"/>
      <c r="C283" s="171"/>
      <c r="D283" s="44"/>
      <c r="E283" s="174"/>
      <c r="F283" s="361"/>
      <c r="G283" s="156"/>
      <c r="H283" s="85"/>
    </row>
    <row r="284" spans="1:8" s="2" customFormat="1" ht="24" customHeight="1" x14ac:dyDescent="0.25">
      <c r="A284" s="171"/>
      <c r="B284" s="171"/>
      <c r="C284" s="171"/>
      <c r="D284" s="36" t="s">
        <v>253</v>
      </c>
      <c r="E284" s="176">
        <f>SUM(E286)</f>
        <v>0</v>
      </c>
      <c r="F284" s="363">
        <f>SUM(F285:F286)</f>
        <v>340000</v>
      </c>
      <c r="G284" s="176">
        <f>SUM(G285:G286)</f>
        <v>66937.89</v>
      </c>
      <c r="H284" s="85">
        <f t="shared" si="48"/>
        <v>19.687614705882353</v>
      </c>
    </row>
    <row r="285" spans="1:8" s="2" customFormat="1" ht="30.75" customHeight="1" x14ac:dyDescent="0.25">
      <c r="A285" s="154"/>
      <c r="B285" s="164"/>
      <c r="C285" s="171"/>
      <c r="D285" s="44" t="s">
        <v>187</v>
      </c>
      <c r="E285" s="174"/>
      <c r="F285" s="361">
        <f>40000</f>
        <v>40000</v>
      </c>
      <c r="G285" s="156"/>
      <c r="H285" s="85">
        <f t="shared" si="48"/>
        <v>0</v>
      </c>
    </row>
    <row r="286" spans="1:8" s="2" customFormat="1" ht="33" customHeight="1" x14ac:dyDescent="0.25">
      <c r="A286" s="154"/>
      <c r="B286" s="164"/>
      <c r="C286" s="171"/>
      <c r="D286" s="44" t="s">
        <v>188</v>
      </c>
      <c r="E286" s="174"/>
      <c r="F286" s="361">
        <f>300000</f>
        <v>300000</v>
      </c>
      <c r="G286" s="156">
        <f>22321.89+4008+40608</f>
        <v>66937.89</v>
      </c>
      <c r="H286" s="85">
        <f t="shared" si="48"/>
        <v>22.312629999999999</v>
      </c>
    </row>
    <row r="287" spans="1:8" s="2" customFormat="1" ht="18.75" customHeight="1" x14ac:dyDescent="0.25">
      <c r="A287" s="154"/>
      <c r="B287" s="164"/>
      <c r="C287" s="171"/>
      <c r="D287" s="44"/>
      <c r="E287" s="174"/>
      <c r="F287" s="361"/>
      <c r="G287" s="156"/>
      <c r="H287" s="85"/>
    </row>
    <row r="288" spans="1:8" s="2" customFormat="1" ht="18.75" customHeight="1" x14ac:dyDescent="0.25">
      <c r="A288" s="154"/>
      <c r="B288" s="164"/>
      <c r="C288" s="171"/>
      <c r="D288" s="44"/>
      <c r="E288" s="174"/>
      <c r="F288" s="361"/>
      <c r="G288" s="156"/>
      <c r="H288" s="85"/>
    </row>
    <row r="289" spans="1:8" s="2" customFormat="1" ht="27.75" hidden="1" customHeight="1" x14ac:dyDescent="0.25">
      <c r="A289" s="171" t="s">
        <v>280</v>
      </c>
      <c r="B289" s="28">
        <v>4040</v>
      </c>
      <c r="C289" s="171"/>
      <c r="D289" s="173"/>
      <c r="E289" s="175">
        <f t="shared" ref="E289:G289" si="55">E292</f>
        <v>0</v>
      </c>
      <c r="F289" s="362">
        <f t="shared" si="55"/>
        <v>0</v>
      </c>
      <c r="G289" s="175">
        <f t="shared" si="55"/>
        <v>0</v>
      </c>
      <c r="H289" s="85" t="e">
        <f t="shared" si="48"/>
        <v>#DIV/0!</v>
      </c>
    </row>
    <row r="290" spans="1:8" s="10" customFormat="1" ht="34.5" hidden="1" customHeight="1" x14ac:dyDescent="0.25">
      <c r="A290" s="154"/>
      <c r="B290" s="164"/>
      <c r="C290" s="171"/>
      <c r="D290" s="36" t="s">
        <v>252</v>
      </c>
      <c r="E290" s="176">
        <f t="shared" ref="E290:G290" si="56">SUM(E291)</f>
        <v>0</v>
      </c>
      <c r="F290" s="363">
        <f t="shared" si="56"/>
        <v>0</v>
      </c>
      <c r="G290" s="176">
        <f t="shared" si="56"/>
        <v>0</v>
      </c>
      <c r="H290" s="85" t="e">
        <f t="shared" si="48"/>
        <v>#DIV/0!</v>
      </c>
    </row>
    <row r="291" spans="1:8" s="2" customFormat="1" ht="39.75" hidden="1" customHeight="1" x14ac:dyDescent="0.25">
      <c r="A291" s="154"/>
      <c r="B291" s="164"/>
      <c r="C291" s="171"/>
      <c r="D291" s="173"/>
      <c r="E291" s="122"/>
      <c r="F291" s="361"/>
      <c r="G291" s="33"/>
      <c r="H291" s="85" t="e">
        <f t="shared" si="48"/>
        <v>#DIV/0!</v>
      </c>
    </row>
    <row r="292" spans="1:8" s="2" customFormat="1" ht="22.5" hidden="1" customHeight="1" x14ac:dyDescent="0.25">
      <c r="A292" s="154"/>
      <c r="B292" s="164"/>
      <c r="C292" s="171"/>
      <c r="D292" s="36" t="s">
        <v>253</v>
      </c>
      <c r="E292" s="119">
        <f t="shared" ref="E292:G292" si="57">SUM(E293:E294)</f>
        <v>0</v>
      </c>
      <c r="F292" s="122">
        <f t="shared" si="57"/>
        <v>0</v>
      </c>
      <c r="G292" s="156">
        <f t="shared" si="57"/>
        <v>0</v>
      </c>
      <c r="H292" s="85" t="e">
        <f t="shared" si="48"/>
        <v>#DIV/0!</v>
      </c>
    </row>
    <row r="293" spans="1:8" s="2" customFormat="1" ht="33" hidden="1" customHeight="1" x14ac:dyDescent="0.25">
      <c r="A293" s="154"/>
      <c r="B293" s="164"/>
      <c r="C293" s="171"/>
      <c r="D293" s="106"/>
      <c r="E293" s="187"/>
      <c r="F293" s="361"/>
      <c r="G293" s="157"/>
      <c r="H293" s="85" t="e">
        <f t="shared" si="48"/>
        <v>#DIV/0!</v>
      </c>
    </row>
    <row r="294" spans="1:8" s="2" customFormat="1" ht="33" hidden="1" customHeight="1" x14ac:dyDescent="0.25">
      <c r="A294" s="154"/>
      <c r="B294" s="164"/>
      <c r="C294" s="171"/>
      <c r="D294" s="106"/>
      <c r="E294" s="187"/>
      <c r="F294" s="361"/>
      <c r="G294" s="157"/>
      <c r="H294" s="85" t="e">
        <f t="shared" si="48"/>
        <v>#DIV/0!</v>
      </c>
    </row>
    <row r="295" spans="1:8" s="2" customFormat="1" ht="18.75" hidden="1" customHeight="1" x14ac:dyDescent="0.25">
      <c r="A295" s="154"/>
      <c r="B295" s="202"/>
      <c r="C295" s="171"/>
      <c r="D295" s="173"/>
      <c r="E295" s="122"/>
      <c r="F295" s="361"/>
      <c r="G295" s="157"/>
      <c r="H295" s="85" t="e">
        <f t="shared" si="48"/>
        <v>#DIV/0!</v>
      </c>
    </row>
    <row r="296" spans="1:8" s="2" customFormat="1" ht="27.75" customHeight="1" x14ac:dyDescent="0.25">
      <c r="A296" s="171" t="s">
        <v>281</v>
      </c>
      <c r="B296" s="28">
        <v>4060</v>
      </c>
      <c r="C296" s="171"/>
      <c r="D296" s="36"/>
      <c r="E296" s="175">
        <f>E297+E303</f>
        <v>300000</v>
      </c>
      <c r="F296" s="362">
        <f>F297+F300+F303</f>
        <v>400000</v>
      </c>
      <c r="G296" s="175">
        <f>G297+G300+G303</f>
        <v>49850</v>
      </c>
      <c r="H296" s="85">
        <f t="shared" si="48"/>
        <v>12.4625</v>
      </c>
    </row>
    <row r="297" spans="1:8" s="2" customFormat="1" ht="27" customHeight="1" x14ac:dyDescent="0.25">
      <c r="A297" s="171"/>
      <c r="B297" s="28"/>
      <c r="C297" s="171"/>
      <c r="D297" s="36" t="s">
        <v>252</v>
      </c>
      <c r="E297" s="175">
        <f t="shared" ref="E297:G297" si="58">SUM(E298)</f>
        <v>300000</v>
      </c>
      <c r="F297" s="362">
        <f t="shared" si="58"/>
        <v>300000</v>
      </c>
      <c r="G297" s="175">
        <f t="shared" si="58"/>
        <v>49850</v>
      </c>
      <c r="H297" s="85">
        <f t="shared" si="48"/>
        <v>16.616666666666667</v>
      </c>
    </row>
    <row r="298" spans="1:8" s="2" customFormat="1" ht="26.25" customHeight="1" x14ac:dyDescent="0.25">
      <c r="A298" s="171"/>
      <c r="B298" s="28"/>
      <c r="C298" s="171"/>
      <c r="D298" s="44" t="s">
        <v>452</v>
      </c>
      <c r="E298" s="187">
        <f>300000</f>
        <v>300000</v>
      </c>
      <c r="F298" s="361">
        <f>300000</f>
        <v>300000</v>
      </c>
      <c r="G298" s="174">
        <f>35000+14850</f>
        <v>49850</v>
      </c>
      <c r="H298" s="85">
        <f t="shared" si="48"/>
        <v>16.616666666666667</v>
      </c>
    </row>
    <row r="299" spans="1:8" s="2" customFormat="1" ht="18.75" customHeight="1" x14ac:dyDescent="0.25">
      <c r="A299" s="171"/>
      <c r="B299" s="28"/>
      <c r="C299" s="171"/>
      <c r="D299" s="44"/>
      <c r="E299" s="187"/>
      <c r="F299" s="361"/>
      <c r="G299" s="174"/>
      <c r="H299" s="85"/>
    </row>
    <row r="300" spans="1:8" s="2" customFormat="1" ht="26.25" customHeight="1" x14ac:dyDescent="0.25">
      <c r="A300" s="171"/>
      <c r="B300" s="171"/>
      <c r="C300" s="171"/>
      <c r="D300" s="36" t="s">
        <v>253</v>
      </c>
      <c r="E300" s="176">
        <f>SUM(E302)</f>
        <v>0</v>
      </c>
      <c r="F300" s="363">
        <f>SUM(F301:F302)</f>
        <v>100000</v>
      </c>
      <c r="G300" s="176">
        <f>SUM(G301:G302)</f>
        <v>0</v>
      </c>
      <c r="H300" s="85">
        <f t="shared" si="48"/>
        <v>0</v>
      </c>
    </row>
    <row r="301" spans="1:8" s="2" customFormat="1" ht="33.75" customHeight="1" x14ac:dyDescent="0.25">
      <c r="A301" s="171"/>
      <c r="B301" s="28"/>
      <c r="C301" s="171"/>
      <c r="D301" s="44" t="s">
        <v>189</v>
      </c>
      <c r="E301" s="187"/>
      <c r="F301" s="361">
        <f>100000</f>
        <v>100000</v>
      </c>
      <c r="G301" s="174"/>
      <c r="H301" s="85">
        <f t="shared" si="48"/>
        <v>0</v>
      </c>
    </row>
    <row r="302" spans="1:8" s="2" customFormat="1" ht="20.25" customHeight="1" x14ac:dyDescent="0.25">
      <c r="A302" s="171"/>
      <c r="B302" s="28"/>
      <c r="C302" s="171"/>
      <c r="D302" s="203"/>
      <c r="E302" s="204"/>
      <c r="F302" s="362"/>
      <c r="G302" s="175"/>
      <c r="H302" s="85"/>
    </row>
    <row r="303" spans="1:8" s="2" customFormat="1" ht="23.25" hidden="1" customHeight="1" x14ac:dyDescent="0.25">
      <c r="A303" s="171"/>
      <c r="B303" s="28"/>
      <c r="C303" s="171"/>
      <c r="D303" s="203" t="s">
        <v>253</v>
      </c>
      <c r="E303" s="204">
        <f t="shared" ref="E303:G303" si="59">SUM(E304:E305)</f>
        <v>0</v>
      </c>
      <c r="F303" s="362">
        <f t="shared" si="59"/>
        <v>0</v>
      </c>
      <c r="G303" s="175">
        <f t="shared" si="59"/>
        <v>0</v>
      </c>
      <c r="H303" s="85" t="e">
        <f t="shared" si="48"/>
        <v>#DIV/0!</v>
      </c>
    </row>
    <row r="304" spans="1:8" s="21" customFormat="1" ht="54" hidden="1" customHeight="1" x14ac:dyDescent="0.25">
      <c r="A304" s="154"/>
      <c r="B304" s="164"/>
      <c r="C304" s="171"/>
      <c r="D304" s="106"/>
      <c r="E304" s="155"/>
      <c r="F304" s="195"/>
      <c r="G304" s="34"/>
      <c r="H304" s="85" t="e">
        <f t="shared" si="48"/>
        <v>#DIV/0!</v>
      </c>
    </row>
    <row r="305" spans="1:8" s="21" customFormat="1" ht="22.5" hidden="1" customHeight="1" x14ac:dyDescent="0.25">
      <c r="A305" s="158"/>
      <c r="B305" s="205"/>
      <c r="C305" s="165"/>
      <c r="D305" s="48"/>
      <c r="E305" s="206"/>
      <c r="F305" s="206"/>
      <c r="G305" s="207"/>
      <c r="H305" s="85" t="e">
        <f t="shared" si="48"/>
        <v>#DIV/0!</v>
      </c>
    </row>
    <row r="306" spans="1:8" s="21" customFormat="1" ht="31.5" hidden="1" customHeight="1" x14ac:dyDescent="0.25">
      <c r="A306" s="184" t="s">
        <v>312</v>
      </c>
      <c r="B306" s="184" t="s">
        <v>313</v>
      </c>
      <c r="C306" s="171"/>
      <c r="D306" s="48"/>
      <c r="E306" s="140">
        <f t="shared" ref="E306:G306" si="60">E307</f>
        <v>0</v>
      </c>
      <c r="F306" s="140">
        <f t="shared" si="60"/>
        <v>0</v>
      </c>
      <c r="G306" s="32">
        <f t="shared" si="60"/>
        <v>0</v>
      </c>
      <c r="H306" s="85" t="e">
        <f t="shared" si="48"/>
        <v>#DIV/0!</v>
      </c>
    </row>
    <row r="307" spans="1:8" s="21" customFormat="1" ht="31.5" hidden="1" customHeight="1" x14ac:dyDescent="0.25">
      <c r="A307" s="171"/>
      <c r="B307" s="171"/>
      <c r="C307" s="171"/>
      <c r="D307" s="36" t="s">
        <v>252</v>
      </c>
      <c r="E307" s="32">
        <f t="shared" ref="E307:G307" si="61">SUM(E308)</f>
        <v>0</v>
      </c>
      <c r="F307" s="140">
        <f t="shared" si="61"/>
        <v>0</v>
      </c>
      <c r="G307" s="32">
        <f t="shared" si="61"/>
        <v>0</v>
      </c>
      <c r="H307" s="85" t="e">
        <f t="shared" si="48"/>
        <v>#DIV/0!</v>
      </c>
    </row>
    <row r="308" spans="1:8" s="21" customFormat="1" ht="31.5" hidden="1" customHeight="1" x14ac:dyDescent="0.25">
      <c r="A308" s="158"/>
      <c r="B308" s="164"/>
      <c r="C308" s="171"/>
      <c r="D308" s="48"/>
      <c r="E308" s="195"/>
      <c r="F308" s="195"/>
      <c r="G308" s="34"/>
      <c r="H308" s="85" t="e">
        <f t="shared" si="48"/>
        <v>#DIV/0!</v>
      </c>
    </row>
    <row r="309" spans="1:8" s="21" customFormat="1" ht="31.5" hidden="1" customHeight="1" x14ac:dyDescent="0.25">
      <c r="A309" s="158"/>
      <c r="B309" s="164"/>
      <c r="C309" s="171"/>
      <c r="D309" s="48"/>
      <c r="E309" s="195"/>
      <c r="F309" s="195"/>
      <c r="G309" s="33"/>
      <c r="H309" s="85" t="e">
        <f t="shared" si="48"/>
        <v>#DIV/0!</v>
      </c>
    </row>
    <row r="310" spans="1:8" s="21" customFormat="1" ht="31.5" hidden="1" customHeight="1" x14ac:dyDescent="0.25">
      <c r="A310" s="184" t="s">
        <v>314</v>
      </c>
      <c r="B310" s="184" t="s">
        <v>315</v>
      </c>
      <c r="C310" s="171"/>
      <c r="D310" s="48"/>
      <c r="E310" s="140">
        <f t="shared" ref="E310:G310" si="62">E311+E313</f>
        <v>0</v>
      </c>
      <c r="F310" s="140">
        <f t="shared" si="62"/>
        <v>0</v>
      </c>
      <c r="G310" s="32">
        <f t="shared" si="62"/>
        <v>0</v>
      </c>
      <c r="H310" s="85" t="e">
        <f t="shared" si="48"/>
        <v>#DIV/0!</v>
      </c>
    </row>
    <row r="311" spans="1:8" s="21" customFormat="1" ht="31.5" hidden="1" customHeight="1" x14ac:dyDescent="0.25">
      <c r="A311" s="171"/>
      <c r="B311" s="171"/>
      <c r="C311" s="171"/>
      <c r="D311" s="36" t="s">
        <v>252</v>
      </c>
      <c r="E311" s="32">
        <f t="shared" ref="E311:G311" si="63">SUM(E312)</f>
        <v>0</v>
      </c>
      <c r="F311" s="140">
        <f t="shared" si="63"/>
        <v>0</v>
      </c>
      <c r="G311" s="32">
        <f t="shared" si="63"/>
        <v>0</v>
      </c>
      <c r="H311" s="85" t="e">
        <f t="shared" si="48"/>
        <v>#DIV/0!</v>
      </c>
    </row>
    <row r="312" spans="1:8" s="2" customFormat="1" ht="26.25" hidden="1" customHeight="1" x14ac:dyDescent="0.25">
      <c r="A312" s="154"/>
      <c r="B312" s="172"/>
      <c r="C312" s="171"/>
      <c r="D312" s="48"/>
      <c r="E312" s="195"/>
      <c r="F312" s="195"/>
      <c r="G312" s="34"/>
      <c r="H312" s="85" t="e">
        <f t="shared" si="48"/>
        <v>#DIV/0!</v>
      </c>
    </row>
    <row r="313" spans="1:8" s="2" customFormat="1" ht="26.25" hidden="1" customHeight="1" x14ac:dyDescent="0.25">
      <c r="A313" s="171"/>
      <c r="B313" s="28"/>
      <c r="C313" s="171"/>
      <c r="D313" s="36" t="s">
        <v>253</v>
      </c>
      <c r="E313" s="176">
        <f t="shared" ref="E313:G313" si="64">E314</f>
        <v>0</v>
      </c>
      <c r="F313" s="363">
        <f t="shared" si="64"/>
        <v>0</v>
      </c>
      <c r="G313" s="176">
        <f t="shared" si="64"/>
        <v>0</v>
      </c>
      <c r="H313" s="85" t="e">
        <f t="shared" si="48"/>
        <v>#DIV/0!</v>
      </c>
    </row>
    <row r="314" spans="1:8" s="2" customFormat="1" ht="36" hidden="1" customHeight="1" x14ac:dyDescent="0.25">
      <c r="A314" s="154"/>
      <c r="B314" s="172"/>
      <c r="C314" s="171"/>
      <c r="D314" s="48"/>
      <c r="E314" s="195"/>
      <c r="F314" s="195"/>
      <c r="G314" s="34"/>
      <c r="H314" s="85" t="e">
        <f t="shared" si="48"/>
        <v>#DIV/0!</v>
      </c>
    </row>
    <row r="315" spans="1:8" s="2" customFormat="1" ht="16.5" hidden="1" customHeight="1" x14ac:dyDescent="0.25">
      <c r="A315" s="154"/>
      <c r="B315" s="172"/>
      <c r="C315" s="171"/>
      <c r="D315" s="48"/>
      <c r="E315" s="195"/>
      <c r="F315" s="195"/>
      <c r="G315" s="34"/>
      <c r="H315" s="85" t="e">
        <f t="shared" si="48"/>
        <v>#DIV/0!</v>
      </c>
    </row>
    <row r="316" spans="1:8" s="2" customFormat="1" ht="36" hidden="1" customHeight="1" x14ac:dyDescent="0.25">
      <c r="A316" s="27" t="s">
        <v>348</v>
      </c>
      <c r="B316" s="142">
        <v>7340</v>
      </c>
      <c r="C316" s="143"/>
      <c r="D316" s="125"/>
      <c r="E316" s="117">
        <f t="shared" ref="E316:G316" si="65">E317+E319</f>
        <v>0</v>
      </c>
      <c r="F316" s="139">
        <f t="shared" si="65"/>
        <v>0</v>
      </c>
      <c r="G316" s="117">
        <f t="shared" si="65"/>
        <v>0</v>
      </c>
      <c r="H316" s="85" t="e">
        <f t="shared" si="48"/>
        <v>#DIV/0!</v>
      </c>
    </row>
    <row r="317" spans="1:8" s="2" customFormat="1" ht="36" hidden="1" customHeight="1" x14ac:dyDescent="0.25">
      <c r="A317" s="144"/>
      <c r="B317" s="145"/>
      <c r="C317" s="143"/>
      <c r="D317" s="36" t="s">
        <v>267</v>
      </c>
      <c r="E317" s="32">
        <f>E318</f>
        <v>0</v>
      </c>
      <c r="F317" s="140">
        <f>F318</f>
        <v>0</v>
      </c>
      <c r="G317" s="32">
        <f>G318</f>
        <v>0</v>
      </c>
      <c r="H317" s="85" t="e">
        <f t="shared" si="48"/>
        <v>#DIV/0!</v>
      </c>
    </row>
    <row r="318" spans="1:8" s="2" customFormat="1" ht="33.75" hidden="1" customHeight="1" x14ac:dyDescent="0.25">
      <c r="A318" s="109"/>
      <c r="B318" s="142"/>
      <c r="C318" s="143"/>
      <c r="D318" s="35"/>
      <c r="E318" s="126"/>
      <c r="F318" s="195"/>
      <c r="G318" s="34"/>
      <c r="H318" s="85" t="e">
        <f t="shared" si="48"/>
        <v>#DIV/0!</v>
      </c>
    </row>
    <row r="319" spans="1:8" s="2" customFormat="1" ht="26.25" hidden="1" customHeight="1" x14ac:dyDescent="0.25">
      <c r="A319" s="154"/>
      <c r="B319" s="172"/>
      <c r="C319" s="171"/>
      <c r="D319" s="194"/>
      <c r="E319" s="195"/>
      <c r="F319" s="195"/>
      <c r="G319" s="34"/>
      <c r="H319" s="85" t="e">
        <f t="shared" si="48"/>
        <v>#DIV/0!</v>
      </c>
    </row>
    <row r="320" spans="1:8" s="7" customFormat="1" ht="45" customHeight="1" x14ac:dyDescent="0.25">
      <c r="A320" s="196" t="s">
        <v>284</v>
      </c>
      <c r="B320" s="164"/>
      <c r="C320" s="171"/>
      <c r="D320" s="190" t="s">
        <v>256</v>
      </c>
      <c r="E320" s="167">
        <f t="shared" ref="E320:G320" si="66">E321</f>
        <v>800000</v>
      </c>
      <c r="F320" s="167">
        <f t="shared" si="66"/>
        <v>1600000</v>
      </c>
      <c r="G320" s="168">
        <f t="shared" si="66"/>
        <v>1146540</v>
      </c>
      <c r="H320" s="85">
        <f t="shared" si="48"/>
        <v>71.658749999999998</v>
      </c>
    </row>
    <row r="321" spans="1:8" s="11" customFormat="1" ht="30.75" customHeight="1" x14ac:dyDescent="0.25">
      <c r="A321" s="142">
        <v>1115031</v>
      </c>
      <c r="B321" s="127">
        <v>5031</v>
      </c>
      <c r="C321" s="142"/>
      <c r="D321" s="166"/>
      <c r="E321" s="41">
        <f t="shared" ref="E321:G321" si="67">E322+E325</f>
        <v>800000</v>
      </c>
      <c r="F321" s="41">
        <f t="shared" si="67"/>
        <v>1600000</v>
      </c>
      <c r="G321" s="40">
        <f t="shared" si="67"/>
        <v>1146540</v>
      </c>
      <c r="H321" s="85">
        <f t="shared" si="48"/>
        <v>71.658749999999998</v>
      </c>
    </row>
    <row r="322" spans="1:8" s="4" customFormat="1" ht="25.5" customHeight="1" x14ac:dyDescent="0.25">
      <c r="A322" s="171"/>
      <c r="B322" s="171"/>
      <c r="C322" s="171"/>
      <c r="D322" s="36" t="s">
        <v>252</v>
      </c>
      <c r="E322" s="32">
        <f t="shared" ref="E322:G322" si="68">SUM(E323)</f>
        <v>0</v>
      </c>
      <c r="F322" s="140">
        <f>SUM(F323)</f>
        <v>119500</v>
      </c>
      <c r="G322" s="32">
        <f t="shared" si="68"/>
        <v>116620</v>
      </c>
      <c r="H322" s="85">
        <f t="shared" si="48"/>
        <v>97.589958158995813</v>
      </c>
    </row>
    <row r="323" spans="1:8" s="4" customFormat="1" ht="24" customHeight="1" x14ac:dyDescent="0.25">
      <c r="A323" s="142"/>
      <c r="B323" s="127"/>
      <c r="C323" s="142"/>
      <c r="D323" s="44" t="s">
        <v>452</v>
      </c>
      <c r="E323" s="134"/>
      <c r="F323" s="195">
        <v>119500</v>
      </c>
      <c r="G323" s="34">
        <f>49020+67600</f>
        <v>116620</v>
      </c>
      <c r="H323" s="85">
        <f t="shared" si="48"/>
        <v>97.589958158995813</v>
      </c>
    </row>
    <row r="324" spans="1:8" s="4" customFormat="1" ht="16.5" customHeight="1" x14ac:dyDescent="0.25">
      <c r="A324" s="142"/>
      <c r="B324" s="127"/>
      <c r="C324" s="142"/>
      <c r="D324" s="166"/>
      <c r="E324" s="41"/>
      <c r="F324" s="41"/>
      <c r="G324" s="40"/>
      <c r="H324" s="85"/>
    </row>
    <row r="325" spans="1:8" s="2" customFormat="1" ht="27" customHeight="1" x14ac:dyDescent="0.25">
      <c r="A325" s="154"/>
      <c r="B325" s="164"/>
      <c r="C325" s="172"/>
      <c r="D325" s="36" t="s">
        <v>253</v>
      </c>
      <c r="E325" s="208">
        <f>SUM(E326:E330)</f>
        <v>800000</v>
      </c>
      <c r="F325" s="208">
        <f>SUM(F326:F332)</f>
        <v>1480500</v>
      </c>
      <c r="G325" s="209">
        <f>SUM(G326:G332)</f>
        <v>1029920.0000000001</v>
      </c>
      <c r="H325" s="85">
        <f t="shared" si="48"/>
        <v>69.565687267814937</v>
      </c>
    </row>
    <row r="326" spans="1:8" s="2" customFormat="1" ht="39" customHeight="1" x14ac:dyDescent="0.25">
      <c r="A326" s="154"/>
      <c r="B326" s="164"/>
      <c r="C326" s="171">
        <v>3132</v>
      </c>
      <c r="D326" s="210" t="s">
        <v>8</v>
      </c>
      <c r="E326" s="101">
        <f>800000</f>
        <v>800000</v>
      </c>
      <c r="F326" s="195">
        <f>800000-800000</f>
        <v>0</v>
      </c>
      <c r="G326" s="34"/>
      <c r="H326" s="85"/>
    </row>
    <row r="327" spans="1:8" s="2" customFormat="1" ht="37.5" customHeight="1" x14ac:dyDescent="0.25">
      <c r="A327" s="154"/>
      <c r="B327" s="164"/>
      <c r="C327" s="171"/>
      <c r="D327" s="210" t="s">
        <v>145</v>
      </c>
      <c r="E327" s="134"/>
      <c r="F327" s="195">
        <f>800000+280500-354096+4008</f>
        <v>730412</v>
      </c>
      <c r="G327" s="34">
        <f>4008+425495.2+120051.6+1456+128513.4+30375.8+577+15927+4008</f>
        <v>730412.00000000012</v>
      </c>
      <c r="H327" s="85">
        <f t="shared" si="48"/>
        <v>100.00000000000003</v>
      </c>
    </row>
    <row r="328" spans="1:8" s="2" customFormat="1" ht="41.25" hidden="1" customHeight="1" x14ac:dyDescent="0.25">
      <c r="A328" s="154"/>
      <c r="B328" s="164"/>
      <c r="C328" s="171"/>
      <c r="D328" s="48"/>
      <c r="E328" s="134"/>
      <c r="F328" s="195"/>
      <c r="G328" s="34"/>
      <c r="H328" s="85" t="e">
        <f t="shared" si="48"/>
        <v>#DIV/0!</v>
      </c>
    </row>
    <row r="329" spans="1:8" s="2" customFormat="1" ht="41.25" hidden="1" customHeight="1" x14ac:dyDescent="0.25">
      <c r="A329" s="154"/>
      <c r="B329" s="164"/>
      <c r="C329" s="171"/>
      <c r="D329" s="48"/>
      <c r="E329" s="134"/>
      <c r="F329" s="195"/>
      <c r="G329" s="34"/>
      <c r="H329" s="85" t="e">
        <f t="shared" si="48"/>
        <v>#DIV/0!</v>
      </c>
    </row>
    <row r="330" spans="1:8" s="2" customFormat="1" ht="44.25" hidden="1" customHeight="1" x14ac:dyDescent="0.25">
      <c r="A330" s="154"/>
      <c r="B330" s="172"/>
      <c r="C330" s="171"/>
      <c r="D330" s="48"/>
      <c r="E330" s="134"/>
      <c r="F330" s="195"/>
      <c r="G330" s="34"/>
      <c r="H330" s="85" t="e">
        <f t="shared" si="48"/>
        <v>#DIV/0!</v>
      </c>
    </row>
    <row r="331" spans="1:8" s="2" customFormat="1" ht="57.75" customHeight="1" x14ac:dyDescent="0.25">
      <c r="A331" s="154"/>
      <c r="B331" s="172"/>
      <c r="C331" s="171"/>
      <c r="D331" s="210" t="s">
        <v>207</v>
      </c>
      <c r="E331" s="134"/>
      <c r="F331" s="195">
        <f>354096-4008</f>
        <v>350088</v>
      </c>
      <c r="G331" s="34">
        <f>168696+1179+2017+1116+92421.6+33675.4+404-1</f>
        <v>299508</v>
      </c>
      <c r="H331" s="85">
        <f t="shared" ref="H331:H394" si="69">G331/F331*100</f>
        <v>85.552204017275656</v>
      </c>
    </row>
    <row r="332" spans="1:8" s="2" customFormat="1" ht="44.25" customHeight="1" x14ac:dyDescent="0.25">
      <c r="A332" s="154"/>
      <c r="B332" s="172"/>
      <c r="C332" s="171">
        <v>3132</v>
      </c>
      <c r="D332" s="210" t="s">
        <v>67</v>
      </c>
      <c r="E332" s="134"/>
      <c r="F332" s="195">
        <v>400000</v>
      </c>
      <c r="G332" s="34">
        <f>58375.8+4207-58375.8-4207</f>
        <v>0</v>
      </c>
      <c r="H332" s="85">
        <f t="shared" si="69"/>
        <v>0</v>
      </c>
    </row>
    <row r="333" spans="1:8" s="2" customFormat="1" ht="18" customHeight="1" x14ac:dyDescent="0.25">
      <c r="A333" s="154"/>
      <c r="B333" s="159"/>
      <c r="C333" s="154"/>
      <c r="D333" s="211"/>
      <c r="E333" s="212"/>
      <c r="F333" s="195"/>
      <c r="G333" s="34"/>
      <c r="H333" s="85"/>
    </row>
    <row r="334" spans="1:8" s="12" customFormat="1" ht="36.75" customHeight="1" x14ac:dyDescent="0.25">
      <c r="A334" s="213" t="s">
        <v>285</v>
      </c>
      <c r="B334" s="151"/>
      <c r="C334" s="201"/>
      <c r="D334" s="214" t="s">
        <v>351</v>
      </c>
      <c r="E334" s="215">
        <f t="shared" ref="E334:G334" si="70">E335+E341+E515+E519+E523+E540+E544+E554</f>
        <v>50231991</v>
      </c>
      <c r="F334" s="367">
        <f t="shared" si="70"/>
        <v>60120249</v>
      </c>
      <c r="G334" s="215">
        <f t="shared" si="70"/>
        <v>38968417.039999999</v>
      </c>
      <c r="H334" s="85">
        <f t="shared" si="69"/>
        <v>64.817457825232893</v>
      </c>
    </row>
    <row r="335" spans="1:8" s="11" customFormat="1" ht="24" customHeight="1" x14ac:dyDescent="0.25">
      <c r="A335" s="171">
        <v>3110160</v>
      </c>
      <c r="B335" s="28" t="s">
        <v>273</v>
      </c>
      <c r="C335" s="171"/>
      <c r="D335" s="149"/>
      <c r="E335" s="41">
        <f t="shared" ref="E335:G335" si="71">E336+E338</f>
        <v>75000</v>
      </c>
      <c r="F335" s="41">
        <f t="shared" si="71"/>
        <v>75000</v>
      </c>
      <c r="G335" s="40">
        <f t="shared" si="71"/>
        <v>36065</v>
      </c>
      <c r="H335" s="85">
        <f t="shared" si="69"/>
        <v>48.086666666666666</v>
      </c>
    </row>
    <row r="336" spans="1:8" s="10" customFormat="1" ht="27.75" customHeight="1" x14ac:dyDescent="0.25">
      <c r="A336" s="171"/>
      <c r="B336" s="216"/>
      <c r="C336" s="171"/>
      <c r="D336" s="36" t="s">
        <v>252</v>
      </c>
      <c r="E336" s="120">
        <f t="shared" ref="E336:G336" si="72">SUM(E337)</f>
        <v>75000</v>
      </c>
      <c r="F336" s="120">
        <f t="shared" si="72"/>
        <v>75000</v>
      </c>
      <c r="G336" s="33">
        <f t="shared" si="72"/>
        <v>36065</v>
      </c>
      <c r="H336" s="85">
        <f t="shared" si="69"/>
        <v>48.086666666666666</v>
      </c>
    </row>
    <row r="337" spans="1:8" s="2" customFormat="1" ht="33" customHeight="1" x14ac:dyDescent="0.25">
      <c r="A337" s="154"/>
      <c r="B337" s="164"/>
      <c r="C337" s="171">
        <v>3110</v>
      </c>
      <c r="D337" s="44" t="s">
        <v>452</v>
      </c>
      <c r="E337" s="34">
        <f>75000</f>
        <v>75000</v>
      </c>
      <c r="F337" s="195">
        <f>75000</f>
        <v>75000</v>
      </c>
      <c r="G337" s="34">
        <f>20200+15865</f>
        <v>36065</v>
      </c>
      <c r="H337" s="85">
        <f t="shared" si="69"/>
        <v>48.086666666666666</v>
      </c>
    </row>
    <row r="338" spans="1:8" s="10" customFormat="1" ht="35.25" hidden="1" customHeight="1" x14ac:dyDescent="0.25">
      <c r="A338" s="154"/>
      <c r="B338" s="164"/>
      <c r="C338" s="171"/>
      <c r="D338" s="36" t="s">
        <v>253</v>
      </c>
      <c r="E338" s="33">
        <f t="shared" ref="E338:G338" si="73">SUM(E339:E340)</f>
        <v>0</v>
      </c>
      <c r="F338" s="120">
        <f>SUM(F339:F340)</f>
        <v>0</v>
      </c>
      <c r="G338" s="33">
        <f t="shared" si="73"/>
        <v>0</v>
      </c>
      <c r="H338" s="85" t="e">
        <f t="shared" si="69"/>
        <v>#DIV/0!</v>
      </c>
    </row>
    <row r="339" spans="1:8" s="2" customFormat="1" ht="42" hidden="1" customHeight="1" x14ac:dyDescent="0.25">
      <c r="A339" s="154"/>
      <c r="B339" s="171"/>
      <c r="C339" s="171">
        <v>3132</v>
      </c>
      <c r="D339" s="173"/>
      <c r="E339" s="126"/>
      <c r="F339" s="126"/>
      <c r="G339" s="34"/>
      <c r="H339" s="85" t="e">
        <f t="shared" si="69"/>
        <v>#DIV/0!</v>
      </c>
    </row>
    <row r="340" spans="1:8" s="2" customFormat="1" ht="16.5" customHeight="1" x14ac:dyDescent="0.25">
      <c r="A340" s="154"/>
      <c r="B340" s="171"/>
      <c r="C340" s="171"/>
      <c r="D340" s="173"/>
      <c r="E340" s="126"/>
      <c r="F340" s="126"/>
      <c r="G340" s="34"/>
      <c r="H340" s="85"/>
    </row>
    <row r="341" spans="1:8" s="11" customFormat="1" ht="24.75" customHeight="1" x14ac:dyDescent="0.25">
      <c r="A341" s="171">
        <v>3116030</v>
      </c>
      <c r="B341" s="171">
        <v>6030</v>
      </c>
      <c r="C341" s="171"/>
      <c r="D341" s="173"/>
      <c r="E341" s="40">
        <f t="shared" ref="E341:G341" si="74">E342</f>
        <v>46981991</v>
      </c>
      <c r="F341" s="41">
        <f t="shared" si="74"/>
        <v>44040049</v>
      </c>
      <c r="G341" s="40">
        <f t="shared" si="74"/>
        <v>32933456.100000001</v>
      </c>
      <c r="H341" s="85">
        <f t="shared" si="69"/>
        <v>74.780698132284101</v>
      </c>
    </row>
    <row r="342" spans="1:8" s="10" customFormat="1" ht="26.25" customHeight="1" x14ac:dyDescent="0.25">
      <c r="A342" s="171"/>
      <c r="B342" s="171"/>
      <c r="C342" s="171"/>
      <c r="D342" s="36" t="s">
        <v>253</v>
      </c>
      <c r="E342" s="40">
        <f t="shared" ref="E342:G342" si="75">E343+E376+E408+E455+E471+E490+E498+E511</f>
        <v>46981991</v>
      </c>
      <c r="F342" s="41">
        <f t="shared" si="75"/>
        <v>44040049</v>
      </c>
      <c r="G342" s="40">
        <f t="shared" si="75"/>
        <v>32933456.100000001</v>
      </c>
      <c r="H342" s="85">
        <f t="shared" si="69"/>
        <v>74.780698132284101</v>
      </c>
    </row>
    <row r="343" spans="1:8" s="2" customFormat="1" ht="31.5" customHeight="1" x14ac:dyDescent="0.25">
      <c r="A343" s="213"/>
      <c r="B343" s="171">
        <v>3116030</v>
      </c>
      <c r="C343" s="171">
        <v>3132</v>
      </c>
      <c r="D343" s="217" t="s">
        <v>316</v>
      </c>
      <c r="E343" s="120">
        <f t="shared" ref="E343:G343" si="76">SUM(E344:E375)</f>
        <v>13303500</v>
      </c>
      <c r="F343" s="120">
        <f t="shared" si="76"/>
        <v>11211366</v>
      </c>
      <c r="G343" s="120">
        <f t="shared" si="76"/>
        <v>7515748.2600000007</v>
      </c>
      <c r="H343" s="85">
        <f t="shared" si="69"/>
        <v>67.036864731737424</v>
      </c>
    </row>
    <row r="344" spans="1:8" s="2" customFormat="1" ht="36.75" customHeight="1" x14ac:dyDescent="0.25">
      <c r="A344" s="213"/>
      <c r="B344" s="171"/>
      <c r="C344" s="171"/>
      <c r="D344" s="35" t="s">
        <v>9</v>
      </c>
      <c r="E344" s="218">
        <v>500000</v>
      </c>
      <c r="F344" s="126">
        <f>500000+120000+333263</f>
        <v>953263</v>
      </c>
      <c r="G344" s="34">
        <f>11160.95+4008+8092.01</f>
        <v>23260.959999999999</v>
      </c>
      <c r="H344" s="85">
        <f t="shared" si="69"/>
        <v>2.440140863539233</v>
      </c>
    </row>
    <row r="345" spans="1:8" s="2" customFormat="1" ht="33" customHeight="1" x14ac:dyDescent="0.25">
      <c r="A345" s="154"/>
      <c r="B345" s="171"/>
      <c r="C345" s="172"/>
      <c r="D345" s="35" t="s">
        <v>10</v>
      </c>
      <c r="E345" s="218">
        <v>200000</v>
      </c>
      <c r="F345" s="126">
        <f>200000-200000</f>
        <v>0</v>
      </c>
      <c r="G345" s="34"/>
      <c r="H345" s="85"/>
    </row>
    <row r="346" spans="1:8" s="2" customFormat="1" ht="33" customHeight="1" x14ac:dyDescent="0.25">
      <c r="A346" s="154"/>
      <c r="B346" s="171"/>
      <c r="C346" s="172"/>
      <c r="D346" s="35" t="s">
        <v>464</v>
      </c>
      <c r="E346" s="218">
        <v>400000</v>
      </c>
      <c r="F346" s="126">
        <f>400000-400000</f>
        <v>0</v>
      </c>
      <c r="G346" s="34"/>
      <c r="H346" s="85"/>
    </row>
    <row r="347" spans="1:8" s="2" customFormat="1" ht="33" customHeight="1" x14ac:dyDescent="0.25">
      <c r="A347" s="154"/>
      <c r="B347" s="171"/>
      <c r="C347" s="172"/>
      <c r="D347" s="35" t="s">
        <v>465</v>
      </c>
      <c r="E347" s="218">
        <v>500000</v>
      </c>
      <c r="F347" s="126">
        <f>500000-500000</f>
        <v>0</v>
      </c>
      <c r="G347" s="34"/>
      <c r="H347" s="85"/>
    </row>
    <row r="348" spans="1:8" s="2" customFormat="1" ht="33" customHeight="1" x14ac:dyDescent="0.25">
      <c r="A348" s="154"/>
      <c r="B348" s="171"/>
      <c r="C348" s="172"/>
      <c r="D348" s="35" t="s">
        <v>466</v>
      </c>
      <c r="E348" s="218">
        <v>299000</v>
      </c>
      <c r="F348" s="126">
        <f>299000+100000-399000</f>
        <v>0</v>
      </c>
      <c r="G348" s="34"/>
      <c r="H348" s="85"/>
    </row>
    <row r="349" spans="1:8" s="2" customFormat="1" ht="33" customHeight="1" x14ac:dyDescent="0.25">
      <c r="A349" s="154"/>
      <c r="B349" s="171"/>
      <c r="C349" s="172"/>
      <c r="D349" s="52" t="s">
        <v>11</v>
      </c>
      <c r="E349" s="218">
        <v>500000</v>
      </c>
      <c r="F349" s="126">
        <f>500000-500000</f>
        <v>0</v>
      </c>
      <c r="G349" s="34"/>
      <c r="H349" s="85"/>
    </row>
    <row r="350" spans="1:8" s="2" customFormat="1" ht="33" customHeight="1" x14ac:dyDescent="0.25">
      <c r="A350" s="154"/>
      <c r="B350" s="171"/>
      <c r="C350" s="172"/>
      <c r="D350" s="52" t="s">
        <v>12</v>
      </c>
      <c r="E350" s="218">
        <v>1000000</v>
      </c>
      <c r="F350" s="126">
        <f>1000000-100000-900000</f>
        <v>0</v>
      </c>
      <c r="G350" s="34"/>
      <c r="H350" s="85"/>
    </row>
    <row r="351" spans="1:8" s="2" customFormat="1" ht="33.75" customHeight="1" x14ac:dyDescent="0.25">
      <c r="A351" s="154"/>
      <c r="B351" s="171"/>
      <c r="C351" s="172"/>
      <c r="D351" s="52" t="s">
        <v>13</v>
      </c>
      <c r="E351" s="218">
        <v>965000</v>
      </c>
      <c r="F351" s="126">
        <f>965000</f>
        <v>965000</v>
      </c>
      <c r="G351" s="31">
        <f>592092+7908+4721.81+360254.4-1.2</f>
        <v>964975.01000000013</v>
      </c>
      <c r="H351" s="85">
        <f t="shared" si="69"/>
        <v>99.99741036269431</v>
      </c>
    </row>
    <row r="352" spans="1:8" s="2" customFormat="1" ht="33.75" customHeight="1" x14ac:dyDescent="0.25">
      <c r="A352" s="154"/>
      <c r="B352" s="171"/>
      <c r="C352" s="172"/>
      <c r="D352" s="52" t="s">
        <v>170</v>
      </c>
      <c r="E352" s="218"/>
      <c r="F352" s="126">
        <f>100000-20000</f>
        <v>80000</v>
      </c>
      <c r="G352" s="31">
        <f>29892+49800</f>
        <v>79692</v>
      </c>
      <c r="H352" s="85">
        <f t="shared" si="69"/>
        <v>99.614999999999995</v>
      </c>
    </row>
    <row r="353" spans="1:8" s="2" customFormat="1" ht="33.75" customHeight="1" x14ac:dyDescent="0.25">
      <c r="A353" s="154"/>
      <c r="B353" s="171"/>
      <c r="C353" s="172"/>
      <c r="D353" s="52" t="s">
        <v>492</v>
      </c>
      <c r="E353" s="218"/>
      <c r="F353" s="126">
        <f>25000</f>
        <v>25000</v>
      </c>
      <c r="G353" s="31"/>
      <c r="H353" s="85">
        <f t="shared" si="69"/>
        <v>0</v>
      </c>
    </row>
    <row r="354" spans="1:8" s="2" customFormat="1" ht="33.75" customHeight="1" x14ac:dyDescent="0.25">
      <c r="A354" s="154"/>
      <c r="B354" s="171"/>
      <c r="C354" s="172"/>
      <c r="D354" s="47" t="s">
        <v>157</v>
      </c>
      <c r="E354" s="218"/>
      <c r="F354" s="126">
        <f>250000-200000</f>
        <v>50000</v>
      </c>
      <c r="G354" s="31">
        <f>4764</f>
        <v>4764</v>
      </c>
      <c r="H354" s="85">
        <f t="shared" si="69"/>
        <v>9.5280000000000005</v>
      </c>
    </row>
    <row r="355" spans="1:8" s="2" customFormat="1" ht="33.75" customHeight="1" x14ac:dyDescent="0.25">
      <c r="A355" s="154"/>
      <c r="B355" s="171"/>
      <c r="C355" s="172"/>
      <c r="D355" s="219" t="s">
        <v>216</v>
      </c>
      <c r="E355" s="218"/>
      <c r="F355" s="126">
        <f>100000</f>
        <v>100000</v>
      </c>
      <c r="G355" s="31">
        <f>21800+48408+5370</f>
        <v>75578</v>
      </c>
      <c r="H355" s="85">
        <f t="shared" si="69"/>
        <v>75.578000000000003</v>
      </c>
    </row>
    <row r="356" spans="1:8" s="2" customFormat="1" ht="33.75" customHeight="1" x14ac:dyDescent="0.25">
      <c r="A356" s="154"/>
      <c r="B356" s="171"/>
      <c r="C356" s="172"/>
      <c r="D356" s="52" t="s">
        <v>14</v>
      </c>
      <c r="E356" s="218">
        <v>600000</v>
      </c>
      <c r="F356" s="126">
        <f>600000-12422</f>
        <v>587578</v>
      </c>
      <c r="G356" s="31">
        <f>580015.09+7562.07</f>
        <v>587577.15999999992</v>
      </c>
      <c r="H356" s="85">
        <f t="shared" si="69"/>
        <v>99.999857040256771</v>
      </c>
    </row>
    <row r="357" spans="1:8" s="2" customFormat="1" ht="39.75" customHeight="1" x14ac:dyDescent="0.25">
      <c r="A357" s="154"/>
      <c r="B357" s="171"/>
      <c r="C357" s="172"/>
      <c r="D357" s="47" t="s">
        <v>217</v>
      </c>
      <c r="E357" s="218"/>
      <c r="F357" s="220">
        <v>100000</v>
      </c>
      <c r="G357" s="31">
        <f>37500+49700+11410</f>
        <v>98610</v>
      </c>
      <c r="H357" s="85">
        <f t="shared" si="69"/>
        <v>98.61</v>
      </c>
    </row>
    <row r="358" spans="1:8" s="2" customFormat="1" ht="44.25" customHeight="1" x14ac:dyDescent="0.25">
      <c r="A358" s="154"/>
      <c r="B358" s="171"/>
      <c r="C358" s="172"/>
      <c r="D358" s="44" t="s">
        <v>218</v>
      </c>
      <c r="E358" s="218"/>
      <c r="F358" s="220">
        <f>100000-100000</f>
        <v>0</v>
      </c>
      <c r="G358" s="31"/>
      <c r="H358" s="85"/>
    </row>
    <row r="359" spans="1:8" s="2" customFormat="1" ht="41.25" customHeight="1" x14ac:dyDescent="0.25">
      <c r="A359" s="154"/>
      <c r="B359" s="171"/>
      <c r="C359" s="172"/>
      <c r="D359" s="47" t="s">
        <v>219</v>
      </c>
      <c r="E359" s="218"/>
      <c r="F359" s="220">
        <f>50000-50000</f>
        <v>0</v>
      </c>
      <c r="G359" s="31"/>
      <c r="H359" s="85"/>
    </row>
    <row r="360" spans="1:8" s="2" customFormat="1" ht="33.75" customHeight="1" x14ac:dyDescent="0.25">
      <c r="A360" s="154"/>
      <c r="B360" s="171"/>
      <c r="C360" s="172"/>
      <c r="D360" s="52" t="s">
        <v>15</v>
      </c>
      <c r="E360" s="218">
        <v>700000</v>
      </c>
      <c r="F360" s="126">
        <f>700000-5654</f>
        <v>694346</v>
      </c>
      <c r="G360" s="31">
        <f>685376.4+8968.82</f>
        <v>694345.22</v>
      </c>
      <c r="H360" s="85">
        <f t="shared" si="69"/>
        <v>99.99988766407526</v>
      </c>
    </row>
    <row r="361" spans="1:8" s="2" customFormat="1" ht="33.75" customHeight="1" x14ac:dyDescent="0.25">
      <c r="A361" s="154"/>
      <c r="B361" s="171"/>
      <c r="C361" s="172"/>
      <c r="D361" s="52" t="s">
        <v>16</v>
      </c>
      <c r="E361" s="218">
        <v>600000</v>
      </c>
      <c r="F361" s="126">
        <f>600000-33000-80740</f>
        <v>486260</v>
      </c>
      <c r="G361" s="31">
        <f>6290.32+479968.32</f>
        <v>486258.64</v>
      </c>
      <c r="H361" s="85">
        <f t="shared" si="69"/>
        <v>99.999720314235191</v>
      </c>
    </row>
    <row r="362" spans="1:8" s="2" customFormat="1" ht="33.75" customHeight="1" x14ac:dyDescent="0.25">
      <c r="A362" s="154"/>
      <c r="B362" s="171"/>
      <c r="C362" s="172"/>
      <c r="D362" s="52" t="s">
        <v>17</v>
      </c>
      <c r="E362" s="218">
        <v>418000</v>
      </c>
      <c r="F362" s="126">
        <f>418000-469</f>
        <v>417531</v>
      </c>
      <c r="G362" s="31">
        <f>412132.8+5397.22</f>
        <v>417530.01999999996</v>
      </c>
      <c r="H362" s="85">
        <f t="shared" si="69"/>
        <v>99.999765286888859</v>
      </c>
    </row>
    <row r="363" spans="1:8" s="2" customFormat="1" ht="36" customHeight="1" x14ac:dyDescent="0.25">
      <c r="A363" s="154"/>
      <c r="B363" s="171"/>
      <c r="C363" s="172"/>
      <c r="D363" s="52" t="s">
        <v>18</v>
      </c>
      <c r="E363" s="218">
        <v>1180000</v>
      </c>
      <c r="F363" s="126">
        <f>1180000</f>
        <v>1180000</v>
      </c>
      <c r="G363" s="31">
        <f>275851.16+3612.52+493214.21+6466.31+4725+5124.78+391004.08</f>
        <v>1179998.06</v>
      </c>
      <c r="H363" s="85">
        <f t="shared" si="69"/>
        <v>99.99983559322034</v>
      </c>
    </row>
    <row r="364" spans="1:8" s="2" customFormat="1" ht="52.5" customHeight="1" x14ac:dyDescent="0.25">
      <c r="A364" s="154"/>
      <c r="B364" s="171"/>
      <c r="C364" s="172"/>
      <c r="D364" s="52" t="s">
        <v>19</v>
      </c>
      <c r="E364" s="218">
        <v>1141500</v>
      </c>
      <c r="F364" s="126">
        <f>1141500</f>
        <v>1141500</v>
      </c>
      <c r="G364" s="31">
        <f>492622.27+6456.85+629196.66+8249.6+4725</f>
        <v>1141250.3800000001</v>
      </c>
      <c r="H364" s="85">
        <f t="shared" si="69"/>
        <v>99.978132282084985</v>
      </c>
    </row>
    <row r="365" spans="1:8" s="5" customFormat="1" ht="35.25" customHeight="1" x14ac:dyDescent="0.25">
      <c r="A365" s="154"/>
      <c r="B365" s="171"/>
      <c r="C365" s="172"/>
      <c r="D365" s="49" t="s">
        <v>26</v>
      </c>
      <c r="E365" s="218">
        <v>100000</v>
      </c>
      <c r="F365" s="126">
        <f>100000+1000000+1429000</f>
        <v>2529000</v>
      </c>
      <c r="G365" s="34">
        <f>5404+19278</f>
        <v>24682</v>
      </c>
      <c r="H365" s="85">
        <f t="shared" si="69"/>
        <v>0.97595887702649264</v>
      </c>
    </row>
    <row r="366" spans="1:8" s="5" customFormat="1" ht="35.25" customHeight="1" x14ac:dyDescent="0.25">
      <c r="A366" s="154"/>
      <c r="B366" s="171"/>
      <c r="C366" s="172"/>
      <c r="D366" s="49" t="s">
        <v>493</v>
      </c>
      <c r="E366" s="218"/>
      <c r="F366" s="126">
        <f>25000</f>
        <v>25000</v>
      </c>
      <c r="G366" s="34"/>
      <c r="H366" s="85">
        <f t="shared" si="69"/>
        <v>0</v>
      </c>
    </row>
    <row r="367" spans="1:8" s="5" customFormat="1" ht="36" customHeight="1" x14ac:dyDescent="0.25">
      <c r="A367" s="154"/>
      <c r="B367" s="171"/>
      <c r="C367" s="172"/>
      <c r="D367" s="49" t="s">
        <v>27</v>
      </c>
      <c r="E367" s="218">
        <v>2000000</v>
      </c>
      <c r="F367" s="126">
        <f>2000000-100000-550000-1250000</f>
        <v>100000</v>
      </c>
      <c r="G367" s="34"/>
      <c r="H367" s="85">
        <f t="shared" si="69"/>
        <v>0</v>
      </c>
    </row>
    <row r="368" spans="1:8" s="5" customFormat="1" ht="39.75" customHeight="1" x14ac:dyDescent="0.25">
      <c r="A368" s="154"/>
      <c r="B368" s="171"/>
      <c r="C368" s="172"/>
      <c r="D368" s="49" t="s">
        <v>29</v>
      </c>
      <c r="E368" s="218">
        <v>100000</v>
      </c>
      <c r="F368" s="126">
        <f>100000-100000</f>
        <v>0</v>
      </c>
      <c r="G368" s="34"/>
      <c r="H368" s="85"/>
    </row>
    <row r="369" spans="1:8" s="5" customFormat="1" ht="39.75" customHeight="1" x14ac:dyDescent="0.25">
      <c r="A369" s="154"/>
      <c r="B369" s="171"/>
      <c r="C369" s="172"/>
      <c r="D369" s="49" t="s">
        <v>30</v>
      </c>
      <c r="E369" s="218">
        <v>100000</v>
      </c>
      <c r="F369" s="126">
        <f>100000-80000</f>
        <v>20000</v>
      </c>
      <c r="G369" s="34"/>
      <c r="H369" s="85">
        <f t="shared" si="69"/>
        <v>0</v>
      </c>
    </row>
    <row r="370" spans="1:8" s="5" customFormat="1" ht="39.75" customHeight="1" x14ac:dyDescent="0.25">
      <c r="A370" s="154"/>
      <c r="B370" s="171"/>
      <c r="C370" s="172"/>
      <c r="D370" s="49" t="s">
        <v>32</v>
      </c>
      <c r="E370" s="218">
        <v>100000</v>
      </c>
      <c r="F370" s="126">
        <f>100000</f>
        <v>100000</v>
      </c>
      <c r="G370" s="34">
        <f>8499+49500+24700</f>
        <v>82699</v>
      </c>
      <c r="H370" s="85">
        <f t="shared" si="69"/>
        <v>82.698999999999998</v>
      </c>
    </row>
    <row r="371" spans="1:8" s="5" customFormat="1" ht="39.75" customHeight="1" x14ac:dyDescent="0.25">
      <c r="A371" s="154"/>
      <c r="B371" s="171"/>
      <c r="C371" s="172"/>
      <c r="D371" s="49" t="s">
        <v>33</v>
      </c>
      <c r="E371" s="218">
        <v>100000</v>
      </c>
      <c r="F371" s="126">
        <f>100000-73112</f>
        <v>26888</v>
      </c>
      <c r="G371" s="34">
        <f>5580+21307.26</f>
        <v>26887.26</v>
      </c>
      <c r="H371" s="85">
        <f t="shared" si="69"/>
        <v>99.997247842903889</v>
      </c>
    </row>
    <row r="372" spans="1:8" s="5" customFormat="1" ht="39.75" customHeight="1" x14ac:dyDescent="0.25">
      <c r="A372" s="154"/>
      <c r="B372" s="171"/>
      <c r="C372" s="172"/>
      <c r="D372" s="35" t="s">
        <v>138</v>
      </c>
      <c r="E372" s="218"/>
      <c r="F372" s="126">
        <f>1000000-1000000</f>
        <v>0</v>
      </c>
      <c r="G372" s="34"/>
      <c r="H372" s="85"/>
    </row>
    <row r="373" spans="1:8" s="5" customFormat="1" ht="39.75" customHeight="1" x14ac:dyDescent="0.25">
      <c r="A373" s="154"/>
      <c r="B373" s="171"/>
      <c r="C373" s="172"/>
      <c r="D373" s="49" t="s">
        <v>34</v>
      </c>
      <c r="E373" s="218">
        <v>700000</v>
      </c>
      <c r="F373" s="126">
        <f>700000-30000</f>
        <v>670000</v>
      </c>
      <c r="G373" s="34">
        <f>8117.05+1809.48+649615.2+8518.92</f>
        <v>668060.65</v>
      </c>
      <c r="H373" s="85">
        <f t="shared" si="69"/>
        <v>99.710544776119406</v>
      </c>
    </row>
    <row r="374" spans="1:8" s="5" customFormat="1" ht="36" customHeight="1" x14ac:dyDescent="0.25">
      <c r="A374" s="154"/>
      <c r="B374" s="171"/>
      <c r="C374" s="172"/>
      <c r="D374" s="49" t="s">
        <v>35</v>
      </c>
      <c r="E374" s="218">
        <v>1100000</v>
      </c>
      <c r="F374" s="126">
        <f>1100000-140000</f>
        <v>960000</v>
      </c>
      <c r="G374" s="34">
        <f>8117.05+155911.2+2042.9+4008+789500.75</f>
        <v>959579.9</v>
      </c>
      <c r="H374" s="85">
        <f t="shared" si="69"/>
        <v>99.956239583333343</v>
      </c>
    </row>
    <row r="375" spans="1:8" s="5" customFormat="1" ht="21" customHeight="1" x14ac:dyDescent="0.25">
      <c r="A375" s="154"/>
      <c r="B375" s="171"/>
      <c r="C375" s="172"/>
      <c r="D375" s="106"/>
      <c r="E375" s="34"/>
      <c r="F375" s="126"/>
      <c r="G375" s="34"/>
      <c r="H375" s="85"/>
    </row>
    <row r="376" spans="1:8" s="5" customFormat="1" ht="21" customHeight="1" x14ac:dyDescent="0.25">
      <c r="A376" s="154"/>
      <c r="B376" s="171">
        <v>3116030</v>
      </c>
      <c r="C376" s="171">
        <v>3132</v>
      </c>
      <c r="D376" s="221" t="s">
        <v>318</v>
      </c>
      <c r="E376" s="40">
        <f t="shared" ref="E376" si="77">SUM(E377:E407)</f>
        <v>6843995</v>
      </c>
      <c r="F376" s="41">
        <f>SUM(F377:F407)</f>
        <v>6313234</v>
      </c>
      <c r="G376" s="40">
        <f>SUM(G377:G407)</f>
        <v>5890876.3399999989</v>
      </c>
      <c r="H376" s="85">
        <f t="shared" si="69"/>
        <v>93.309963483057956</v>
      </c>
    </row>
    <row r="377" spans="1:8" s="5" customFormat="1" ht="36" customHeight="1" x14ac:dyDescent="0.25">
      <c r="A377" s="154"/>
      <c r="B377" s="171"/>
      <c r="C377" s="172"/>
      <c r="D377" s="52" t="s">
        <v>36</v>
      </c>
      <c r="E377" s="218">
        <v>212150</v>
      </c>
      <c r="F377" s="126">
        <f>212150</f>
        <v>212150</v>
      </c>
      <c r="G377" s="34"/>
      <c r="H377" s="85">
        <f t="shared" si="69"/>
        <v>0</v>
      </c>
    </row>
    <row r="378" spans="1:8" s="5" customFormat="1" ht="32.25" customHeight="1" x14ac:dyDescent="0.25">
      <c r="A378" s="154"/>
      <c r="B378" s="171"/>
      <c r="C378" s="172"/>
      <c r="D378" s="52" t="s">
        <v>37</v>
      </c>
      <c r="E378" s="218">
        <v>390000</v>
      </c>
      <c r="F378" s="126">
        <f>390000-12180</f>
        <v>377820</v>
      </c>
      <c r="G378" s="34">
        <f>373009+4810.14</f>
        <v>377819.14</v>
      </c>
      <c r="H378" s="85">
        <f t="shared" si="69"/>
        <v>99.999772378381252</v>
      </c>
    </row>
    <row r="379" spans="1:8" s="5" customFormat="1" ht="32.25" customHeight="1" x14ac:dyDescent="0.25">
      <c r="A379" s="154"/>
      <c r="B379" s="171"/>
      <c r="C379" s="172"/>
      <c r="D379" s="44" t="s">
        <v>173</v>
      </c>
      <c r="E379" s="218"/>
      <c r="F379" s="126">
        <f>250000-250000</f>
        <v>0</v>
      </c>
      <c r="G379" s="34"/>
      <c r="H379" s="85"/>
    </row>
    <row r="380" spans="1:8" s="5" customFormat="1" ht="32.25" customHeight="1" x14ac:dyDescent="0.25">
      <c r="A380" s="154"/>
      <c r="B380" s="171"/>
      <c r="C380" s="172"/>
      <c r="D380" s="52" t="s">
        <v>38</v>
      </c>
      <c r="E380" s="218">
        <v>843500</v>
      </c>
      <c r="F380" s="220">
        <f>843500-2770</f>
        <v>840730</v>
      </c>
      <c r="G380" s="34">
        <f>493860+5926+4129+336814.8</f>
        <v>840729.8</v>
      </c>
      <c r="H380" s="85">
        <f t="shared" si="69"/>
        <v>99.999976211149843</v>
      </c>
    </row>
    <row r="381" spans="1:8" s="5" customFormat="1" ht="32.25" customHeight="1" x14ac:dyDescent="0.25">
      <c r="A381" s="154"/>
      <c r="B381" s="171"/>
      <c r="C381" s="172"/>
      <c r="D381" s="52" t="s">
        <v>39</v>
      </c>
      <c r="E381" s="218">
        <v>672800</v>
      </c>
      <c r="F381" s="220">
        <f>672800</f>
        <v>672800</v>
      </c>
      <c r="G381" s="34">
        <f>661861</f>
        <v>661861</v>
      </c>
      <c r="H381" s="85">
        <f t="shared" si="69"/>
        <v>98.374108204518436</v>
      </c>
    </row>
    <row r="382" spans="1:8" s="5" customFormat="1" ht="32.25" customHeight="1" x14ac:dyDescent="0.25">
      <c r="A382" s="154"/>
      <c r="B382" s="171"/>
      <c r="C382" s="172"/>
      <c r="D382" s="52" t="s">
        <v>40</v>
      </c>
      <c r="E382" s="218">
        <v>1000000</v>
      </c>
      <c r="F382" s="220">
        <f>1000000-1000000</f>
        <v>0</v>
      </c>
      <c r="G382" s="34"/>
      <c r="H382" s="85"/>
    </row>
    <row r="383" spans="1:8" s="5" customFormat="1" ht="32.25" customHeight="1" x14ac:dyDescent="0.25">
      <c r="A383" s="154"/>
      <c r="B383" s="171"/>
      <c r="C383" s="172"/>
      <c r="D383" s="52" t="s">
        <v>63</v>
      </c>
      <c r="E383" s="218"/>
      <c r="F383" s="220">
        <f>1000000-1000000</f>
        <v>0</v>
      </c>
      <c r="G383" s="34"/>
      <c r="H383" s="85"/>
    </row>
    <row r="384" spans="1:8" s="5" customFormat="1" ht="32.25" customHeight="1" x14ac:dyDescent="0.25">
      <c r="A384" s="154"/>
      <c r="B384" s="171"/>
      <c r="C384" s="172"/>
      <c r="D384" s="52" t="s">
        <v>41</v>
      </c>
      <c r="E384" s="218">
        <v>899545</v>
      </c>
      <c r="F384" s="220">
        <f>899545-475</f>
        <v>899070</v>
      </c>
      <c r="G384" s="34">
        <f>238230+543234+106519.2+2901+1305+6614</f>
        <v>898803.19999999995</v>
      </c>
      <c r="H384" s="85">
        <f t="shared" si="69"/>
        <v>99.970324891276547</v>
      </c>
    </row>
    <row r="385" spans="1:8" s="5" customFormat="1" ht="32.25" customHeight="1" x14ac:dyDescent="0.25">
      <c r="A385" s="154"/>
      <c r="B385" s="171"/>
      <c r="C385" s="172"/>
      <c r="D385" s="49" t="s">
        <v>42</v>
      </c>
      <c r="E385" s="218">
        <v>5000</v>
      </c>
      <c r="F385" s="220">
        <f>5000</f>
        <v>5000</v>
      </c>
      <c r="G385" s="34">
        <f>4050</f>
        <v>4050</v>
      </c>
      <c r="H385" s="85">
        <f t="shared" si="69"/>
        <v>81</v>
      </c>
    </row>
    <row r="386" spans="1:8" s="5" customFormat="1" ht="32.25" customHeight="1" x14ac:dyDescent="0.25">
      <c r="A386" s="154"/>
      <c r="B386" s="171"/>
      <c r="C386" s="172"/>
      <c r="D386" s="49" t="s">
        <v>43</v>
      </c>
      <c r="E386" s="218">
        <v>5000</v>
      </c>
      <c r="F386" s="220">
        <f>5000</f>
        <v>5000</v>
      </c>
      <c r="G386" s="34">
        <f>4050</f>
        <v>4050</v>
      </c>
      <c r="H386" s="85">
        <f t="shared" si="69"/>
        <v>81</v>
      </c>
    </row>
    <row r="387" spans="1:8" s="5" customFormat="1" ht="32.25" customHeight="1" x14ac:dyDescent="0.25">
      <c r="A387" s="154"/>
      <c r="B387" s="171"/>
      <c r="C387" s="172"/>
      <c r="D387" s="49" t="s">
        <v>44</v>
      </c>
      <c r="E387" s="218">
        <v>139000</v>
      </c>
      <c r="F387" s="220">
        <f>139000</f>
        <v>139000</v>
      </c>
      <c r="G387" s="34">
        <f>136950+1767.07</f>
        <v>138717.07</v>
      </c>
      <c r="H387" s="85">
        <f t="shared" si="69"/>
        <v>99.796453237410077</v>
      </c>
    </row>
    <row r="388" spans="1:8" s="5" customFormat="1" ht="32.25" customHeight="1" x14ac:dyDescent="0.25">
      <c r="A388" s="154"/>
      <c r="B388" s="171"/>
      <c r="C388" s="172"/>
      <c r="D388" s="49" t="s">
        <v>45</v>
      </c>
      <c r="E388" s="218">
        <v>500000</v>
      </c>
      <c r="F388" s="220">
        <f>500000+5000</f>
        <v>505000</v>
      </c>
      <c r="G388" s="34">
        <f>14794+407199.6+5073.4</f>
        <v>427067</v>
      </c>
      <c r="H388" s="85">
        <f t="shared" si="69"/>
        <v>84.567722772277236</v>
      </c>
    </row>
    <row r="389" spans="1:8" s="5" customFormat="1" ht="32.25" customHeight="1" x14ac:dyDescent="0.25">
      <c r="A389" s="154"/>
      <c r="B389" s="171"/>
      <c r="C389" s="172"/>
      <c r="D389" s="49" t="s">
        <v>46</v>
      </c>
      <c r="E389" s="218">
        <v>299000</v>
      </c>
      <c r="F389" s="220">
        <f>299000-60000-3455</f>
        <v>235545</v>
      </c>
      <c r="G389" s="34">
        <f>2700+229486+3356.68</f>
        <v>235542.68</v>
      </c>
      <c r="H389" s="85">
        <f t="shared" si="69"/>
        <v>99.999015050202729</v>
      </c>
    </row>
    <row r="390" spans="1:8" s="5" customFormat="1" ht="32.25" customHeight="1" x14ac:dyDescent="0.25">
      <c r="A390" s="154"/>
      <c r="B390" s="171"/>
      <c r="C390" s="172"/>
      <c r="D390" s="49" t="s">
        <v>195</v>
      </c>
      <c r="E390" s="218"/>
      <c r="F390" s="220">
        <f>100000-10500-2479-3500-5000</f>
        <v>78521</v>
      </c>
      <c r="G390" s="34">
        <f>1350+72998+1015</f>
        <v>75363</v>
      </c>
      <c r="H390" s="85">
        <f t="shared" si="69"/>
        <v>95.978145973688569</v>
      </c>
    </row>
    <row r="391" spans="1:8" s="5" customFormat="1" ht="32.25" customHeight="1" x14ac:dyDescent="0.25">
      <c r="A391" s="154"/>
      <c r="B391" s="171"/>
      <c r="C391" s="172"/>
      <c r="D391" s="49" t="s">
        <v>47</v>
      </c>
      <c r="E391" s="218">
        <v>298000</v>
      </c>
      <c r="F391" s="220">
        <f>298000-101000-50000</f>
        <v>147000</v>
      </c>
      <c r="G391" s="34">
        <f>2700+119999+1742.57</f>
        <v>124441.57</v>
      </c>
      <c r="H391" s="85">
        <f t="shared" si="69"/>
        <v>84.654129251700681</v>
      </c>
    </row>
    <row r="392" spans="1:8" s="5" customFormat="1" ht="32.25" customHeight="1" x14ac:dyDescent="0.25">
      <c r="A392" s="154"/>
      <c r="B392" s="171"/>
      <c r="C392" s="172"/>
      <c r="D392" s="49" t="s">
        <v>24</v>
      </c>
      <c r="E392" s="218"/>
      <c r="F392" s="220">
        <f>49000</f>
        <v>49000</v>
      </c>
      <c r="G392" s="34">
        <f>48800</f>
        <v>48800</v>
      </c>
      <c r="H392" s="85">
        <f t="shared" si="69"/>
        <v>99.591836734693871</v>
      </c>
    </row>
    <row r="393" spans="1:8" s="5" customFormat="1" ht="32.25" customHeight="1" x14ac:dyDescent="0.25">
      <c r="A393" s="154"/>
      <c r="B393" s="171"/>
      <c r="C393" s="172"/>
      <c r="D393" s="49" t="s">
        <v>191</v>
      </c>
      <c r="E393" s="218"/>
      <c r="F393" s="220">
        <f>250000+85789</f>
        <v>335789</v>
      </c>
      <c r="G393" s="34">
        <f>4008+8100+314200+4713</f>
        <v>331021</v>
      </c>
      <c r="H393" s="85">
        <f t="shared" si="69"/>
        <v>98.580060692875577</v>
      </c>
    </row>
    <row r="394" spans="1:8" s="5" customFormat="1" ht="32.25" customHeight="1" x14ac:dyDescent="0.25">
      <c r="A394" s="154"/>
      <c r="B394" s="171"/>
      <c r="C394" s="172"/>
      <c r="D394" s="49" t="s">
        <v>48</v>
      </c>
      <c r="E394" s="218">
        <v>200000</v>
      </c>
      <c r="F394" s="220">
        <f>200000</f>
        <v>200000</v>
      </c>
      <c r="G394" s="34">
        <f>4008+4860+186152+2635+18</f>
        <v>197673</v>
      </c>
      <c r="H394" s="85">
        <f t="shared" si="69"/>
        <v>98.836500000000001</v>
      </c>
    </row>
    <row r="395" spans="1:8" s="5" customFormat="1" ht="32.25" customHeight="1" x14ac:dyDescent="0.25">
      <c r="A395" s="154"/>
      <c r="B395" s="171"/>
      <c r="C395" s="172"/>
      <c r="D395" s="49" t="s">
        <v>49</v>
      </c>
      <c r="E395" s="218">
        <v>500000</v>
      </c>
      <c r="F395" s="220">
        <f>500000+120000+18252+49000</f>
        <v>687252</v>
      </c>
      <c r="G395" s="34">
        <f>5600+4050+143143.92+198795.88+184422.46+98367.63+1376+2496+46836+1417+655-89</f>
        <v>687070.89</v>
      </c>
      <c r="H395" s="85">
        <f t="shared" ref="H395:H458" si="78">G395/F395*100</f>
        <v>99.97364722110666</v>
      </c>
    </row>
    <row r="396" spans="1:8" s="5" customFormat="1" ht="32.25" customHeight="1" x14ac:dyDescent="0.25">
      <c r="A396" s="154"/>
      <c r="B396" s="171"/>
      <c r="C396" s="172"/>
      <c r="D396" s="44" t="s">
        <v>64</v>
      </c>
      <c r="E396" s="218"/>
      <c r="F396" s="220">
        <f>100000+130000</f>
        <v>230000</v>
      </c>
      <c r="G396" s="34">
        <f>4252+219437+3086</f>
        <v>226775</v>
      </c>
      <c r="H396" s="85">
        <f t="shared" si="78"/>
        <v>98.597826086956516</v>
      </c>
    </row>
    <row r="397" spans="1:8" s="5" customFormat="1" ht="32.25" customHeight="1" x14ac:dyDescent="0.25">
      <c r="A397" s="154"/>
      <c r="B397" s="171"/>
      <c r="C397" s="172"/>
      <c r="D397" s="49" t="s">
        <v>50</v>
      </c>
      <c r="E397" s="218">
        <v>250000</v>
      </c>
      <c r="F397" s="220">
        <f>250000-250000</f>
        <v>0</v>
      </c>
      <c r="G397" s="34"/>
      <c r="H397" s="85"/>
    </row>
    <row r="398" spans="1:8" s="5" customFormat="1" ht="32.25" customHeight="1" x14ac:dyDescent="0.25">
      <c r="A398" s="154"/>
      <c r="B398" s="171"/>
      <c r="C398" s="172"/>
      <c r="D398" s="49" t="s">
        <v>51</v>
      </c>
      <c r="E398" s="218">
        <v>130000</v>
      </c>
      <c r="F398" s="220">
        <f>130000-130000</f>
        <v>0</v>
      </c>
      <c r="G398" s="34"/>
      <c r="H398" s="85"/>
    </row>
    <row r="399" spans="1:8" s="5" customFormat="1" ht="32.25" customHeight="1" x14ac:dyDescent="0.25">
      <c r="A399" s="154"/>
      <c r="B399" s="171"/>
      <c r="C399" s="172"/>
      <c r="D399" s="35" t="s">
        <v>52</v>
      </c>
      <c r="E399" s="101">
        <v>500000</v>
      </c>
      <c r="F399" s="220">
        <f>500000-500000</f>
        <v>0</v>
      </c>
      <c r="G399" s="34"/>
      <c r="H399" s="85"/>
    </row>
    <row r="400" spans="1:8" s="5" customFormat="1" ht="32.25" customHeight="1" x14ac:dyDescent="0.25">
      <c r="A400" s="154"/>
      <c r="B400" s="171"/>
      <c r="C400" s="172"/>
      <c r="D400" s="35" t="s">
        <v>198</v>
      </c>
      <c r="E400" s="101"/>
      <c r="F400" s="220">
        <f>500000</f>
        <v>500000</v>
      </c>
      <c r="G400" s="34">
        <f>14794+478553+6653</f>
        <v>500000</v>
      </c>
      <c r="H400" s="85">
        <f t="shared" si="78"/>
        <v>100</v>
      </c>
    </row>
    <row r="401" spans="1:8" s="5" customFormat="1" ht="32.25" customHeight="1" x14ac:dyDescent="0.25">
      <c r="A401" s="154"/>
      <c r="B401" s="171"/>
      <c r="C401" s="172"/>
      <c r="D401" s="35" t="s">
        <v>25</v>
      </c>
      <c r="E401" s="101"/>
      <c r="F401" s="220">
        <v>26557</v>
      </c>
      <c r="G401" s="34">
        <f>24647+1910</f>
        <v>26557</v>
      </c>
      <c r="H401" s="85">
        <f t="shared" si="78"/>
        <v>100</v>
      </c>
    </row>
    <row r="402" spans="1:8" s="5" customFormat="1" ht="32.25" customHeight="1" x14ac:dyDescent="0.25">
      <c r="A402" s="154"/>
      <c r="B402" s="171"/>
      <c r="C402" s="172"/>
      <c r="D402" s="35" t="s">
        <v>241</v>
      </c>
      <c r="E402" s="101"/>
      <c r="F402" s="220">
        <f>49000</f>
        <v>49000</v>
      </c>
      <c r="G402" s="34">
        <f>11340</f>
        <v>11340</v>
      </c>
      <c r="H402" s="85">
        <f t="shared" si="78"/>
        <v>23.142857142857142</v>
      </c>
    </row>
    <row r="403" spans="1:8" s="5" customFormat="1" ht="32.25" customHeight="1" x14ac:dyDescent="0.25">
      <c r="A403" s="154"/>
      <c r="B403" s="171"/>
      <c r="C403" s="172"/>
      <c r="D403" s="35" t="s">
        <v>242</v>
      </c>
      <c r="E403" s="101"/>
      <c r="F403" s="220">
        <f>49000</f>
        <v>49000</v>
      </c>
      <c r="G403" s="34">
        <f>11340</f>
        <v>11340</v>
      </c>
      <c r="H403" s="85">
        <f t="shared" si="78"/>
        <v>23.142857142857142</v>
      </c>
    </row>
    <row r="404" spans="1:8" s="5" customFormat="1" ht="32.25" customHeight="1" x14ac:dyDescent="0.25">
      <c r="A404" s="154"/>
      <c r="B404" s="171"/>
      <c r="C404" s="172"/>
      <c r="D404" s="35" t="s">
        <v>243</v>
      </c>
      <c r="E404" s="101"/>
      <c r="F404" s="220">
        <f>100000-100000</f>
        <v>0</v>
      </c>
      <c r="G404" s="34"/>
      <c r="H404" s="85"/>
    </row>
    <row r="405" spans="1:8" s="5" customFormat="1" ht="32.25" customHeight="1" x14ac:dyDescent="0.25">
      <c r="A405" s="154"/>
      <c r="B405" s="171"/>
      <c r="C405" s="172"/>
      <c r="D405" s="35" t="s">
        <v>415</v>
      </c>
      <c r="E405" s="101"/>
      <c r="F405" s="220">
        <v>20000</v>
      </c>
      <c r="G405" s="34">
        <f>12960</f>
        <v>12960</v>
      </c>
      <c r="H405" s="85">
        <f t="shared" si="78"/>
        <v>64.8</v>
      </c>
    </row>
    <row r="406" spans="1:8" s="5" customFormat="1" ht="32.25" customHeight="1" x14ac:dyDescent="0.25">
      <c r="A406" s="154"/>
      <c r="B406" s="171"/>
      <c r="C406" s="172"/>
      <c r="D406" s="35" t="s">
        <v>399</v>
      </c>
      <c r="E406" s="101"/>
      <c r="F406" s="220">
        <v>49000</v>
      </c>
      <c r="G406" s="34">
        <f>46664.4+1620+611.89-1.3</f>
        <v>48894.99</v>
      </c>
      <c r="H406" s="85">
        <f t="shared" si="78"/>
        <v>99.785693877551012</v>
      </c>
    </row>
    <row r="407" spans="1:8" s="5" customFormat="1" ht="21.75" customHeight="1" x14ac:dyDescent="0.25">
      <c r="A407" s="223"/>
      <c r="B407" s="171"/>
      <c r="C407" s="172"/>
      <c r="D407" s="106"/>
      <c r="E407" s="34"/>
      <c r="F407" s="126"/>
      <c r="G407" s="31"/>
      <c r="H407" s="85"/>
    </row>
    <row r="408" spans="1:8" s="5" customFormat="1" ht="30" customHeight="1" x14ac:dyDescent="0.25">
      <c r="A408" s="223"/>
      <c r="B408" s="171">
        <v>3116030</v>
      </c>
      <c r="C408" s="171">
        <v>3132</v>
      </c>
      <c r="D408" s="221" t="s">
        <v>286</v>
      </c>
      <c r="E408" s="41">
        <f t="shared" ref="E408" si="79">SUM(E409:E454)</f>
        <v>19600625</v>
      </c>
      <c r="F408" s="41">
        <f>SUM(F409:F454)</f>
        <v>22118686</v>
      </c>
      <c r="G408" s="40">
        <f>SUM(G409:G454)</f>
        <v>16284396.229999999</v>
      </c>
      <c r="H408" s="85">
        <f t="shared" si="78"/>
        <v>73.622801236926989</v>
      </c>
    </row>
    <row r="409" spans="1:8" s="5" customFormat="1" ht="30" customHeight="1" x14ac:dyDescent="0.25">
      <c r="A409" s="223"/>
      <c r="B409" s="171"/>
      <c r="C409" s="172"/>
      <c r="D409" s="52" t="s">
        <v>53</v>
      </c>
      <c r="E409" s="218">
        <v>778500</v>
      </c>
      <c r="F409" s="126">
        <f>778500</f>
        <v>778500</v>
      </c>
      <c r="G409" s="31">
        <f>768220.8+9974.08</f>
        <v>778194.88</v>
      </c>
      <c r="H409" s="85">
        <f t="shared" si="78"/>
        <v>99.960806679511876</v>
      </c>
    </row>
    <row r="410" spans="1:8" s="5" customFormat="1" ht="36" customHeight="1" x14ac:dyDescent="0.25">
      <c r="A410" s="223"/>
      <c r="B410" s="171"/>
      <c r="C410" s="172"/>
      <c r="D410" s="45" t="s">
        <v>171</v>
      </c>
      <c r="E410" s="218"/>
      <c r="F410" s="126">
        <f>200000-35000-3880</f>
        <v>161120</v>
      </c>
      <c r="G410" s="31">
        <f>2700+156127+2288.06</f>
        <v>161115.06</v>
      </c>
      <c r="H410" s="85">
        <f t="shared" si="78"/>
        <v>99.996933962264151</v>
      </c>
    </row>
    <row r="411" spans="1:8" s="5" customFormat="1" ht="36" customHeight="1" x14ac:dyDescent="0.25">
      <c r="A411" s="223"/>
      <c r="B411" s="171"/>
      <c r="C411" s="172"/>
      <c r="D411" s="44" t="s">
        <v>176</v>
      </c>
      <c r="E411" s="218"/>
      <c r="F411" s="126">
        <f>250000-100000</f>
        <v>150000</v>
      </c>
      <c r="G411" s="31">
        <f>71934.16+908.66</f>
        <v>72842.820000000007</v>
      </c>
      <c r="H411" s="85">
        <f t="shared" si="78"/>
        <v>48.561880000000009</v>
      </c>
    </row>
    <row r="412" spans="1:8" s="5" customFormat="1" ht="36" customHeight="1" x14ac:dyDescent="0.25">
      <c r="A412" s="223"/>
      <c r="B412" s="171"/>
      <c r="C412" s="172"/>
      <c r="D412" s="47" t="s">
        <v>180</v>
      </c>
      <c r="E412" s="218"/>
      <c r="F412" s="126">
        <f>1000000-1000000</f>
        <v>0</v>
      </c>
      <c r="G412" s="31"/>
      <c r="H412" s="85"/>
    </row>
    <row r="413" spans="1:8" s="5" customFormat="1" ht="36" customHeight="1" x14ac:dyDescent="0.25">
      <c r="A413" s="223"/>
      <c r="B413" s="171"/>
      <c r="C413" s="172"/>
      <c r="D413" s="44" t="s">
        <v>177</v>
      </c>
      <c r="E413" s="218"/>
      <c r="F413" s="126">
        <f>250000</f>
        <v>250000</v>
      </c>
      <c r="G413" s="31">
        <f>31808.6+400.31</f>
        <v>32208.91</v>
      </c>
      <c r="H413" s="85">
        <f t="shared" si="78"/>
        <v>12.883564</v>
      </c>
    </row>
    <row r="414" spans="1:8" s="3" customFormat="1" ht="32.25" customHeight="1" x14ac:dyDescent="0.25">
      <c r="A414" s="154"/>
      <c r="B414" s="171"/>
      <c r="C414" s="171"/>
      <c r="D414" s="52" t="s">
        <v>54</v>
      </c>
      <c r="E414" s="218">
        <v>299000</v>
      </c>
      <c r="F414" s="126">
        <f>299000+328795</f>
        <v>627795</v>
      </c>
      <c r="G414" s="124">
        <f>2700</f>
        <v>2700</v>
      </c>
      <c r="H414" s="85">
        <f t="shared" si="78"/>
        <v>0.43007669701096696</v>
      </c>
    </row>
    <row r="415" spans="1:8" s="3" customFormat="1" ht="32.25" customHeight="1" x14ac:dyDescent="0.25">
      <c r="A415" s="154"/>
      <c r="B415" s="171"/>
      <c r="C415" s="171"/>
      <c r="D415" s="52" t="s">
        <v>55</v>
      </c>
      <c r="E415" s="218">
        <v>1000000</v>
      </c>
      <c r="F415" s="126">
        <f>1000000+250000-389500</f>
        <v>860500</v>
      </c>
      <c r="G415" s="124">
        <f>14040+147832.8+1905.84+229891.2+2977.13+457856.4</f>
        <v>854503.37</v>
      </c>
      <c r="H415" s="85">
        <f t="shared" si="78"/>
        <v>99.303122603137709</v>
      </c>
    </row>
    <row r="416" spans="1:8" s="3" customFormat="1" ht="32.25" customHeight="1" x14ac:dyDescent="0.25">
      <c r="A416" s="154"/>
      <c r="B416" s="171"/>
      <c r="C416" s="171"/>
      <c r="D416" s="52" t="s">
        <v>56</v>
      </c>
      <c r="E416" s="218">
        <v>151600</v>
      </c>
      <c r="F416" s="126">
        <f>151600-27333</f>
        <v>124267</v>
      </c>
      <c r="G416" s="124">
        <f>122655.6+1611.07</f>
        <v>124266.67000000001</v>
      </c>
      <c r="H416" s="85">
        <f t="shared" si="78"/>
        <v>99.999734442772422</v>
      </c>
    </row>
    <row r="417" spans="1:8" s="3" customFormat="1" ht="32.25" customHeight="1" x14ac:dyDescent="0.25">
      <c r="A417" s="154"/>
      <c r="B417" s="171"/>
      <c r="C417" s="171"/>
      <c r="D417" s="52" t="s">
        <v>57</v>
      </c>
      <c r="E417" s="218">
        <v>1000000</v>
      </c>
      <c r="F417" s="126">
        <f>1000000+1000000-22000-119051+30000</f>
        <v>1888949</v>
      </c>
      <c r="G417" s="124">
        <f>9947.37+1825405.2+23596.3</f>
        <v>1858948.87</v>
      </c>
      <c r="H417" s="85">
        <f t="shared" si="78"/>
        <v>98.411808365392616</v>
      </c>
    </row>
    <row r="418" spans="1:8" s="6" customFormat="1" ht="33" customHeight="1" x14ac:dyDescent="0.25">
      <c r="A418" s="154"/>
      <c r="B418" s="171"/>
      <c r="C418" s="172"/>
      <c r="D418" s="52" t="s">
        <v>58</v>
      </c>
      <c r="E418" s="218">
        <v>1213000</v>
      </c>
      <c r="F418" s="126">
        <f>1213000</f>
        <v>1213000</v>
      </c>
      <c r="G418" s="34">
        <f>470910+6050.46+726259.2+9534.6</f>
        <v>1212754.26</v>
      </c>
      <c r="H418" s="85">
        <f t="shared" si="78"/>
        <v>99.979741137675177</v>
      </c>
    </row>
    <row r="419" spans="1:8" s="6" customFormat="1" ht="33" customHeight="1" x14ac:dyDescent="0.25">
      <c r="A419" s="154"/>
      <c r="B419" s="171"/>
      <c r="C419" s="172"/>
      <c r="D419" s="52" t="s">
        <v>59</v>
      </c>
      <c r="E419" s="218">
        <v>900000</v>
      </c>
      <c r="F419" s="126">
        <f>900000-21237</f>
        <v>878763</v>
      </c>
      <c r="G419" s="34">
        <f>867393.6+11368.92</f>
        <v>878762.52</v>
      </c>
      <c r="H419" s="85">
        <f t="shared" si="78"/>
        <v>99.999945377763979</v>
      </c>
    </row>
    <row r="420" spans="1:8" s="6" customFormat="1" ht="32.25" customHeight="1" x14ac:dyDescent="0.25">
      <c r="A420" s="154"/>
      <c r="B420" s="171"/>
      <c r="C420" s="172"/>
      <c r="D420" s="52" t="s">
        <v>60</v>
      </c>
      <c r="E420" s="218">
        <v>655000</v>
      </c>
      <c r="F420" s="126">
        <f>655000-2604</f>
        <v>652396</v>
      </c>
      <c r="G420" s="34">
        <f>810+643138.8+8446.93</f>
        <v>652395.7300000001</v>
      </c>
      <c r="H420" s="85">
        <f t="shared" si="78"/>
        <v>99.999958614093302</v>
      </c>
    </row>
    <row r="421" spans="1:8" s="6" customFormat="1" ht="37.5" customHeight="1" x14ac:dyDescent="0.25">
      <c r="A421" s="154"/>
      <c r="B421" s="171"/>
      <c r="C421" s="172"/>
      <c r="D421" s="52" t="s">
        <v>61</v>
      </c>
      <c r="E421" s="218">
        <v>971000</v>
      </c>
      <c r="F421" s="126">
        <f>971000</f>
        <v>971000</v>
      </c>
      <c r="G421" s="34">
        <f>958221.6+12550.59</f>
        <v>970772.19</v>
      </c>
      <c r="H421" s="85">
        <f t="shared" si="78"/>
        <v>99.976538619979394</v>
      </c>
    </row>
    <row r="422" spans="1:8" s="6" customFormat="1" ht="31.5" customHeight="1" x14ac:dyDescent="0.25">
      <c r="A422" s="154"/>
      <c r="B422" s="171"/>
      <c r="C422" s="172"/>
      <c r="D422" s="52" t="s">
        <v>62</v>
      </c>
      <c r="E422" s="218">
        <v>780000</v>
      </c>
      <c r="F422" s="126">
        <f>780000-250000-6749</f>
        <v>523251</v>
      </c>
      <c r="G422" s="34">
        <f>516506.4+6744.34</f>
        <v>523250.74000000005</v>
      </c>
      <c r="H422" s="85">
        <f t="shared" si="78"/>
        <v>99.999950310653972</v>
      </c>
    </row>
    <row r="423" spans="1:8" s="6" customFormat="1" ht="31.5" customHeight="1" x14ac:dyDescent="0.25">
      <c r="A423" s="154"/>
      <c r="B423" s="171"/>
      <c r="C423" s="172"/>
      <c r="D423" s="52" t="s">
        <v>136</v>
      </c>
      <c r="E423" s="218"/>
      <c r="F423" s="126">
        <f>299000</f>
        <v>299000</v>
      </c>
      <c r="G423" s="34"/>
      <c r="H423" s="85">
        <f t="shared" si="78"/>
        <v>0</v>
      </c>
    </row>
    <row r="424" spans="1:8" s="6" customFormat="1" ht="31.5" customHeight="1" x14ac:dyDescent="0.25">
      <c r="A424" s="154"/>
      <c r="B424" s="171"/>
      <c r="C424" s="172"/>
      <c r="D424" s="52" t="s">
        <v>70</v>
      </c>
      <c r="E424" s="218">
        <v>299000</v>
      </c>
      <c r="F424" s="126">
        <f>299000-299000</f>
        <v>0</v>
      </c>
      <c r="G424" s="34"/>
      <c r="H424" s="85"/>
    </row>
    <row r="425" spans="1:8" s="6" customFormat="1" ht="36" customHeight="1" x14ac:dyDescent="0.25">
      <c r="A425" s="154"/>
      <c r="B425" s="171"/>
      <c r="C425" s="172"/>
      <c r="D425" s="52" t="s">
        <v>71</v>
      </c>
      <c r="E425" s="218">
        <v>359300</v>
      </c>
      <c r="F425" s="126">
        <f>359300-5320</f>
        <v>353980</v>
      </c>
      <c r="G425" s="34">
        <f>349488.76+4490.41</f>
        <v>353979.17</v>
      </c>
      <c r="H425" s="85">
        <f t="shared" si="78"/>
        <v>99.999765523475901</v>
      </c>
    </row>
    <row r="426" spans="1:8" s="6" customFormat="1" ht="36.75" customHeight="1" x14ac:dyDescent="0.25">
      <c r="A426" s="154"/>
      <c r="B426" s="171"/>
      <c r="C426" s="172"/>
      <c r="D426" s="52" t="s">
        <v>72</v>
      </c>
      <c r="E426" s="218">
        <v>200000</v>
      </c>
      <c r="F426" s="126">
        <f>200000+498825</f>
        <v>698825</v>
      </c>
      <c r="G426" s="34">
        <f>4008+16234.11</f>
        <v>20242.11</v>
      </c>
      <c r="H426" s="85">
        <f t="shared" si="78"/>
        <v>2.896592136801059</v>
      </c>
    </row>
    <row r="427" spans="1:8" s="6" customFormat="1" ht="36" customHeight="1" x14ac:dyDescent="0.25">
      <c r="A427" s="154"/>
      <c r="B427" s="171"/>
      <c r="C427" s="172"/>
      <c r="D427" s="52" t="s">
        <v>73</v>
      </c>
      <c r="E427" s="218">
        <v>965000</v>
      </c>
      <c r="F427" s="126">
        <f>965000-2540</f>
        <v>962460</v>
      </c>
      <c r="G427" s="34">
        <f>950078.4+12379.71</f>
        <v>962458.11</v>
      </c>
      <c r="H427" s="85">
        <f t="shared" si="78"/>
        <v>99.999803628202727</v>
      </c>
    </row>
    <row r="428" spans="1:8" s="6" customFormat="1" ht="36" customHeight="1" x14ac:dyDescent="0.25">
      <c r="A428" s="154"/>
      <c r="B428" s="171"/>
      <c r="C428" s="172"/>
      <c r="D428" s="52" t="s">
        <v>74</v>
      </c>
      <c r="E428" s="218">
        <v>780000</v>
      </c>
      <c r="F428" s="126">
        <f>780000-3249</f>
        <v>776751</v>
      </c>
      <c r="G428" s="34">
        <f>10057.27+766693.2</f>
        <v>776750.47</v>
      </c>
      <c r="H428" s="85">
        <f t="shared" si="78"/>
        <v>99.999931767065632</v>
      </c>
    </row>
    <row r="429" spans="1:8" s="6" customFormat="1" ht="36" customHeight="1" x14ac:dyDescent="0.25">
      <c r="A429" s="154"/>
      <c r="B429" s="171"/>
      <c r="C429" s="172"/>
      <c r="D429" s="52" t="s">
        <v>75</v>
      </c>
      <c r="E429" s="218">
        <v>220000</v>
      </c>
      <c r="F429" s="126">
        <f>220000-20000-1417</f>
        <v>198583</v>
      </c>
      <c r="G429" s="34">
        <f>194346+2517.91</f>
        <v>196863.91</v>
      </c>
      <c r="H429" s="85">
        <f t="shared" si="78"/>
        <v>99.134321669025056</v>
      </c>
    </row>
    <row r="430" spans="1:8" s="6" customFormat="1" ht="36" customHeight="1" x14ac:dyDescent="0.25">
      <c r="A430" s="154"/>
      <c r="B430" s="171"/>
      <c r="C430" s="172"/>
      <c r="D430" s="52" t="s">
        <v>76</v>
      </c>
      <c r="E430" s="218">
        <v>782000</v>
      </c>
      <c r="F430" s="126">
        <f>782000</f>
        <v>782000</v>
      </c>
      <c r="G430" s="34">
        <f>771735.6+10154.41</f>
        <v>781890.01</v>
      </c>
      <c r="H430" s="85">
        <f t="shared" si="78"/>
        <v>99.985934782608695</v>
      </c>
    </row>
    <row r="431" spans="1:8" s="6" customFormat="1" ht="36" customHeight="1" x14ac:dyDescent="0.25">
      <c r="A431" s="154"/>
      <c r="B431" s="171"/>
      <c r="C431" s="172"/>
      <c r="D431" s="52" t="s">
        <v>77</v>
      </c>
      <c r="E431" s="218">
        <v>852500</v>
      </c>
      <c r="F431" s="126">
        <f>852500</f>
        <v>852500</v>
      </c>
      <c r="G431" s="34">
        <f>347770.8+4444.29+493255.2+6446.66</f>
        <v>851916.95000000007</v>
      </c>
      <c r="H431" s="85">
        <f t="shared" si="78"/>
        <v>99.931607038123175</v>
      </c>
    </row>
    <row r="432" spans="1:8" s="6" customFormat="1" ht="36" customHeight="1" x14ac:dyDescent="0.25">
      <c r="A432" s="154"/>
      <c r="B432" s="171"/>
      <c r="C432" s="172"/>
      <c r="D432" s="52" t="s">
        <v>78</v>
      </c>
      <c r="E432" s="218">
        <v>500000</v>
      </c>
      <c r="F432" s="126">
        <f>500000+318900</f>
        <v>818900</v>
      </c>
      <c r="G432" s="34">
        <f>14794+375283.36+5629.25+412716.64+6105.75</f>
        <v>814529</v>
      </c>
      <c r="H432" s="85">
        <f t="shared" si="78"/>
        <v>99.466235193552322</v>
      </c>
    </row>
    <row r="433" spans="1:8" s="6" customFormat="1" ht="33" customHeight="1" x14ac:dyDescent="0.25">
      <c r="A433" s="154"/>
      <c r="B433" s="171"/>
      <c r="C433" s="172"/>
      <c r="D433" s="49" t="s">
        <v>79</v>
      </c>
      <c r="E433" s="218">
        <v>645000</v>
      </c>
      <c r="F433" s="126">
        <f>645000-1136</f>
        <v>643864</v>
      </c>
      <c r="G433" s="34">
        <f>634680+8205.29</f>
        <v>642885.29</v>
      </c>
      <c r="H433" s="85">
        <f t="shared" si="78"/>
        <v>99.847994296932271</v>
      </c>
    </row>
    <row r="434" spans="1:8" s="6" customFormat="1" ht="33" customHeight="1" x14ac:dyDescent="0.25">
      <c r="A434" s="154"/>
      <c r="B434" s="171"/>
      <c r="C434" s="172"/>
      <c r="D434" s="49" t="s">
        <v>80</v>
      </c>
      <c r="E434" s="218">
        <v>4725</v>
      </c>
      <c r="F434" s="126">
        <f>4725</f>
        <v>4725</v>
      </c>
      <c r="G434" s="34">
        <v>4725</v>
      </c>
      <c r="H434" s="85">
        <f t="shared" si="78"/>
        <v>100</v>
      </c>
    </row>
    <row r="435" spans="1:8" s="6" customFormat="1" ht="33" customHeight="1" x14ac:dyDescent="0.25">
      <c r="A435" s="154"/>
      <c r="B435" s="171"/>
      <c r="C435" s="172"/>
      <c r="D435" s="49" t="s">
        <v>81</v>
      </c>
      <c r="E435" s="218">
        <v>260000</v>
      </c>
      <c r="F435" s="126">
        <f>260000</f>
        <v>260000</v>
      </c>
      <c r="G435" s="34">
        <f>251118+3194.6+4725</f>
        <v>259037.6</v>
      </c>
      <c r="H435" s="85">
        <f t="shared" si="78"/>
        <v>99.629846153846159</v>
      </c>
    </row>
    <row r="436" spans="1:8" s="6" customFormat="1" ht="33" customHeight="1" x14ac:dyDescent="0.25">
      <c r="A436" s="154"/>
      <c r="B436" s="171"/>
      <c r="C436" s="172"/>
      <c r="D436" s="52" t="s">
        <v>82</v>
      </c>
      <c r="E436" s="218">
        <v>1000000</v>
      </c>
      <c r="F436" s="126">
        <f>1000000+299000</f>
        <v>1299000</v>
      </c>
      <c r="G436" s="34">
        <f>258733.58+3261.67</f>
        <v>261995.25</v>
      </c>
      <c r="H436" s="85">
        <f t="shared" si="78"/>
        <v>20.168995381062356</v>
      </c>
    </row>
    <row r="437" spans="1:8" s="6" customFormat="1" ht="33" customHeight="1" x14ac:dyDescent="0.25">
      <c r="A437" s="154"/>
      <c r="B437" s="171"/>
      <c r="C437" s="172"/>
      <c r="D437" s="49" t="s">
        <v>83</v>
      </c>
      <c r="E437" s="218">
        <v>1500000</v>
      </c>
      <c r="F437" s="126">
        <f>1500000-1500000</f>
        <v>0</v>
      </c>
      <c r="G437" s="34"/>
      <c r="H437" s="85"/>
    </row>
    <row r="438" spans="1:8" s="6" customFormat="1" ht="33" customHeight="1" x14ac:dyDescent="0.25">
      <c r="A438" s="154"/>
      <c r="B438" s="171"/>
      <c r="C438" s="172"/>
      <c r="D438" s="44" t="s">
        <v>174</v>
      </c>
      <c r="E438" s="218"/>
      <c r="F438" s="126">
        <f>50000-50000</f>
        <v>0</v>
      </c>
      <c r="G438" s="34"/>
      <c r="H438" s="85"/>
    </row>
    <row r="439" spans="1:8" s="6" customFormat="1" ht="33" customHeight="1" x14ac:dyDescent="0.25">
      <c r="A439" s="154"/>
      <c r="B439" s="171"/>
      <c r="C439" s="172"/>
      <c r="D439" s="44" t="s">
        <v>175</v>
      </c>
      <c r="E439" s="218"/>
      <c r="F439" s="126">
        <f>1450000-130000</f>
        <v>1320000</v>
      </c>
      <c r="G439" s="34">
        <f>104706.3+329755.18+4200.56+1353.85+673164.77</f>
        <v>1113180.6599999999</v>
      </c>
      <c r="H439" s="85">
        <f t="shared" si="78"/>
        <v>84.331868181818166</v>
      </c>
    </row>
    <row r="440" spans="1:8" s="6" customFormat="1" ht="33" customHeight="1" x14ac:dyDescent="0.25">
      <c r="A440" s="154"/>
      <c r="B440" s="171"/>
      <c r="C440" s="172"/>
      <c r="D440" s="52" t="s">
        <v>84</v>
      </c>
      <c r="E440" s="218">
        <v>1000000</v>
      </c>
      <c r="F440" s="126">
        <f>1000000-1000000</f>
        <v>0</v>
      </c>
      <c r="G440" s="34"/>
      <c r="H440" s="85"/>
    </row>
    <row r="441" spans="1:8" s="6" customFormat="1" ht="33" customHeight="1" x14ac:dyDescent="0.25">
      <c r="A441" s="154"/>
      <c r="B441" s="171"/>
      <c r="C441" s="172"/>
      <c r="D441" s="52" t="s">
        <v>85</v>
      </c>
      <c r="E441" s="218">
        <v>250000</v>
      </c>
      <c r="F441" s="126">
        <f>250000-250000</f>
        <v>0</v>
      </c>
      <c r="G441" s="34"/>
      <c r="H441" s="85"/>
    </row>
    <row r="442" spans="1:8" s="6" customFormat="1" ht="33" customHeight="1" x14ac:dyDescent="0.25">
      <c r="A442" s="154"/>
      <c r="B442" s="171"/>
      <c r="C442" s="172"/>
      <c r="D442" s="44" t="s">
        <v>86</v>
      </c>
      <c r="E442" s="218">
        <v>265000</v>
      </c>
      <c r="F442" s="126">
        <f>265000</f>
        <v>265000</v>
      </c>
      <c r="G442" s="34">
        <f>260179.2+3370.57+540</f>
        <v>264089.77</v>
      </c>
      <c r="H442" s="85">
        <f t="shared" si="78"/>
        <v>99.656516981132086</v>
      </c>
    </row>
    <row r="443" spans="1:8" s="6" customFormat="1" ht="33" customHeight="1" x14ac:dyDescent="0.25">
      <c r="A443" s="154"/>
      <c r="B443" s="171"/>
      <c r="C443" s="172"/>
      <c r="D443" s="44" t="s">
        <v>87</v>
      </c>
      <c r="E443" s="218">
        <v>270000</v>
      </c>
      <c r="F443" s="126">
        <f>270000-14000</f>
        <v>256000</v>
      </c>
      <c r="G443" s="34">
        <f>540+251475.6+3259.73</f>
        <v>255275.33000000002</v>
      </c>
      <c r="H443" s="85">
        <f t="shared" si="78"/>
        <v>99.716925781250012</v>
      </c>
    </row>
    <row r="444" spans="1:8" s="6" customFormat="1" ht="37.5" customHeight="1" x14ac:dyDescent="0.25">
      <c r="A444" s="154"/>
      <c r="B444" s="171"/>
      <c r="C444" s="172"/>
      <c r="D444" s="44" t="s">
        <v>88</v>
      </c>
      <c r="E444" s="218">
        <v>500000</v>
      </c>
      <c r="F444" s="126">
        <f>500000-500000</f>
        <v>0</v>
      </c>
      <c r="G444" s="34"/>
      <c r="H444" s="85"/>
    </row>
    <row r="445" spans="1:8" s="6" customFormat="1" ht="37.5" customHeight="1" x14ac:dyDescent="0.25">
      <c r="A445" s="154"/>
      <c r="B445" s="171"/>
      <c r="C445" s="172"/>
      <c r="D445" s="44" t="s">
        <v>467</v>
      </c>
      <c r="E445" s="218"/>
      <c r="F445" s="126">
        <f>889500</f>
        <v>889500</v>
      </c>
      <c r="G445" s="34"/>
      <c r="H445" s="85">
        <f t="shared" si="78"/>
        <v>0</v>
      </c>
    </row>
    <row r="446" spans="1:8" s="6" customFormat="1" ht="33" customHeight="1" x14ac:dyDescent="0.25">
      <c r="A446" s="154"/>
      <c r="B446" s="171"/>
      <c r="C446" s="172"/>
      <c r="D446" s="44" t="s">
        <v>89</v>
      </c>
      <c r="E446" s="218">
        <v>1000000</v>
      </c>
      <c r="F446" s="126">
        <f>1000000-1000000</f>
        <v>0</v>
      </c>
      <c r="G446" s="34"/>
      <c r="H446" s="85"/>
    </row>
    <row r="447" spans="1:8" s="6" customFormat="1" ht="33" customHeight="1" x14ac:dyDescent="0.25">
      <c r="A447" s="154"/>
      <c r="B447" s="171"/>
      <c r="C447" s="172"/>
      <c r="D447" s="44" t="s">
        <v>201</v>
      </c>
      <c r="E447" s="218"/>
      <c r="F447" s="126">
        <f>1250000</f>
        <v>1250000</v>
      </c>
      <c r="G447" s="34">
        <f>3994+4252+482200.69+7233.01</f>
        <v>497679.7</v>
      </c>
      <c r="H447" s="85">
        <f t="shared" si="78"/>
        <v>39.814376000000003</v>
      </c>
    </row>
    <row r="448" spans="1:8" s="6" customFormat="1" ht="37.5" customHeight="1" x14ac:dyDescent="0.25">
      <c r="A448" s="154"/>
      <c r="B448" s="171"/>
      <c r="C448" s="172"/>
      <c r="D448" s="44" t="s">
        <v>90</v>
      </c>
      <c r="E448" s="218">
        <v>200000</v>
      </c>
      <c r="F448" s="126">
        <f>200000+50000+304557</f>
        <v>554557</v>
      </c>
      <c r="G448" s="34">
        <f>5400+4008</f>
        <v>9408</v>
      </c>
      <c r="H448" s="85">
        <f t="shared" si="78"/>
        <v>1.6964892698135627</v>
      </c>
    </row>
    <row r="449" spans="1:8" s="6" customFormat="1" ht="37.5" customHeight="1" x14ac:dyDescent="0.25">
      <c r="A449" s="154"/>
      <c r="B449" s="171"/>
      <c r="C449" s="172"/>
      <c r="D449" s="35" t="s">
        <v>226</v>
      </c>
      <c r="E449" s="218"/>
      <c r="F449" s="126">
        <f>50000</f>
        <v>50000</v>
      </c>
      <c r="G449" s="34"/>
      <c r="H449" s="85">
        <f t="shared" si="78"/>
        <v>0</v>
      </c>
    </row>
    <row r="450" spans="1:8" s="6" customFormat="1" ht="37.5" customHeight="1" x14ac:dyDescent="0.25">
      <c r="A450" s="154"/>
      <c r="B450" s="171"/>
      <c r="C450" s="172"/>
      <c r="D450" s="44" t="s">
        <v>161</v>
      </c>
      <c r="E450" s="218"/>
      <c r="F450" s="126">
        <f>312450+3500</f>
        <v>315950</v>
      </c>
      <c r="G450" s="34">
        <f>4008+653.27</f>
        <v>4661.2700000000004</v>
      </c>
      <c r="H450" s="85">
        <f t="shared" si="78"/>
        <v>1.4753188795695522</v>
      </c>
    </row>
    <row r="451" spans="1:8" s="6" customFormat="1" ht="37.5" customHeight="1" x14ac:dyDescent="0.25">
      <c r="A451" s="154"/>
      <c r="B451" s="171"/>
      <c r="C451" s="172"/>
      <c r="D451" s="44" t="s">
        <v>361</v>
      </c>
      <c r="E451" s="218"/>
      <c r="F451" s="126">
        <v>47550</v>
      </c>
      <c r="G451" s="34">
        <f>45212.4+593.49+1620</f>
        <v>47425.89</v>
      </c>
      <c r="H451" s="85">
        <f t="shared" si="78"/>
        <v>99.738990536277612</v>
      </c>
    </row>
    <row r="452" spans="1:8" s="6" customFormat="1" ht="37.5" customHeight="1" x14ac:dyDescent="0.25">
      <c r="A452" s="154"/>
      <c r="B452" s="171"/>
      <c r="C452" s="172"/>
      <c r="D452" s="44" t="s">
        <v>362</v>
      </c>
      <c r="E452" s="218"/>
      <c r="F452" s="126">
        <v>40000</v>
      </c>
      <c r="G452" s="34">
        <f>37735.2+496.52+1620</f>
        <v>39851.719999999994</v>
      </c>
      <c r="H452" s="85">
        <f t="shared" si="78"/>
        <v>99.629299999999986</v>
      </c>
    </row>
    <row r="453" spans="1:8" s="6" customFormat="1" ht="37.5" customHeight="1" x14ac:dyDescent="0.25">
      <c r="A453" s="154"/>
      <c r="B453" s="171"/>
      <c r="C453" s="172"/>
      <c r="D453" s="35" t="s">
        <v>400</v>
      </c>
      <c r="E453" s="218"/>
      <c r="F453" s="126">
        <v>100000</v>
      </c>
      <c r="G453" s="34">
        <f>2835</f>
        <v>2835</v>
      </c>
      <c r="H453" s="85">
        <f t="shared" si="78"/>
        <v>2.835</v>
      </c>
    </row>
    <row r="454" spans="1:8" s="6" customFormat="1" ht="21.75" customHeight="1" x14ac:dyDescent="0.25">
      <c r="A454" s="154"/>
      <c r="B454" s="171"/>
      <c r="C454" s="172"/>
      <c r="D454" s="45"/>
      <c r="E454" s="126"/>
      <c r="F454" s="126"/>
      <c r="G454" s="34"/>
      <c r="H454" s="85"/>
    </row>
    <row r="455" spans="1:8" s="6" customFormat="1" ht="21.75" customHeight="1" x14ac:dyDescent="0.25">
      <c r="A455" s="154"/>
      <c r="B455" s="171">
        <v>3116030</v>
      </c>
      <c r="C455" s="171">
        <v>3132</v>
      </c>
      <c r="D455" s="224" t="s">
        <v>319</v>
      </c>
      <c r="E455" s="120">
        <f t="shared" ref="E455:G455" si="80">SUM(E456:E470)</f>
        <v>2198000</v>
      </c>
      <c r="F455" s="120">
        <f t="shared" si="80"/>
        <v>420912</v>
      </c>
      <c r="G455" s="33">
        <f t="shared" si="80"/>
        <v>252455.94</v>
      </c>
      <c r="H455" s="85">
        <f t="shared" si="78"/>
        <v>59.978318508381804</v>
      </c>
    </row>
    <row r="456" spans="1:8" s="6" customFormat="1" ht="36" customHeight="1" x14ac:dyDescent="0.25">
      <c r="A456" s="154"/>
      <c r="B456" s="171"/>
      <c r="C456" s="172"/>
      <c r="D456" s="35" t="s">
        <v>91</v>
      </c>
      <c r="E456" s="101">
        <v>49000</v>
      </c>
      <c r="F456" s="126">
        <f>49000-49000</f>
        <v>0</v>
      </c>
      <c r="G456" s="34"/>
      <c r="H456" s="85"/>
    </row>
    <row r="457" spans="1:8" s="6" customFormat="1" ht="36" customHeight="1" x14ac:dyDescent="0.25">
      <c r="A457" s="154"/>
      <c r="B457" s="171"/>
      <c r="C457" s="172"/>
      <c r="D457" s="35" t="s">
        <v>197</v>
      </c>
      <c r="E457" s="101"/>
      <c r="F457" s="126">
        <f>49000</f>
        <v>49000</v>
      </c>
      <c r="G457" s="34">
        <f>2029.26+46024.8+667.26</f>
        <v>48721.320000000007</v>
      </c>
      <c r="H457" s="85">
        <f t="shared" si="78"/>
        <v>99.431265306122469</v>
      </c>
    </row>
    <row r="458" spans="1:8" s="6" customFormat="1" ht="36" customHeight="1" x14ac:dyDescent="0.25">
      <c r="A458" s="154"/>
      <c r="B458" s="171"/>
      <c r="C458" s="172"/>
      <c r="D458" s="35" t="s">
        <v>92</v>
      </c>
      <c r="E458" s="101">
        <v>1000000</v>
      </c>
      <c r="F458" s="126">
        <f>1000000-250000+450000-1150000</f>
        <v>50000</v>
      </c>
      <c r="G458" s="34">
        <v>49933</v>
      </c>
      <c r="H458" s="85">
        <f t="shared" si="78"/>
        <v>99.866</v>
      </c>
    </row>
    <row r="459" spans="1:8" s="6" customFormat="1" ht="36" customHeight="1" x14ac:dyDescent="0.25">
      <c r="A459" s="154"/>
      <c r="B459" s="171"/>
      <c r="C459" s="172"/>
      <c r="D459" s="35" t="s">
        <v>93</v>
      </c>
      <c r="E459" s="101">
        <v>49000</v>
      </c>
      <c r="F459" s="126">
        <f>49000-49000</f>
        <v>0</v>
      </c>
      <c r="G459" s="34"/>
      <c r="H459" s="85"/>
    </row>
    <row r="460" spans="1:8" s="6" customFormat="1" ht="36" customHeight="1" x14ac:dyDescent="0.25">
      <c r="A460" s="154"/>
      <c r="B460" s="171"/>
      <c r="C460" s="172"/>
      <c r="D460" s="35" t="s">
        <v>196</v>
      </c>
      <c r="E460" s="101"/>
      <c r="F460" s="126">
        <f>49000-42962</f>
        <v>6038</v>
      </c>
      <c r="G460" s="34">
        <f>2029.26+4008</f>
        <v>6037.26</v>
      </c>
      <c r="H460" s="85">
        <f t="shared" ref="H460:H522" si="81">G460/F460*100</f>
        <v>99.987744286187478</v>
      </c>
    </row>
    <row r="461" spans="1:8" s="6" customFormat="1" ht="36" customHeight="1" x14ac:dyDescent="0.25">
      <c r="A461" s="154"/>
      <c r="B461" s="171"/>
      <c r="C461" s="172"/>
      <c r="D461" s="52" t="s">
        <v>97</v>
      </c>
      <c r="E461" s="218">
        <v>100000</v>
      </c>
      <c r="F461" s="126">
        <f>100000-100000</f>
        <v>0</v>
      </c>
      <c r="G461" s="34"/>
      <c r="H461" s="85"/>
    </row>
    <row r="462" spans="1:8" s="6" customFormat="1" ht="36" customHeight="1" x14ac:dyDescent="0.25">
      <c r="A462" s="154"/>
      <c r="B462" s="171"/>
      <c r="C462" s="172"/>
      <c r="D462" s="35" t="s">
        <v>227</v>
      </c>
      <c r="E462" s="218"/>
      <c r="F462" s="126">
        <f>100000</f>
        <v>100000</v>
      </c>
      <c r="G462" s="34">
        <v>26357.69</v>
      </c>
      <c r="H462" s="85">
        <f t="shared" si="81"/>
        <v>26.357690000000002</v>
      </c>
    </row>
    <row r="463" spans="1:8" s="6" customFormat="1" ht="36" customHeight="1" x14ac:dyDescent="0.25">
      <c r="A463" s="154"/>
      <c r="B463" s="171"/>
      <c r="C463" s="172"/>
      <c r="D463" s="52" t="s">
        <v>94</v>
      </c>
      <c r="E463" s="218">
        <v>250000</v>
      </c>
      <c r="F463" s="126">
        <f>250000-250000</f>
        <v>0</v>
      </c>
      <c r="G463" s="34"/>
      <c r="H463" s="85"/>
    </row>
    <row r="464" spans="1:8" s="6" customFormat="1" ht="36" customHeight="1" x14ac:dyDescent="0.25">
      <c r="A464" s="154"/>
      <c r="B464" s="171"/>
      <c r="C464" s="172"/>
      <c r="D464" s="52" t="s">
        <v>95</v>
      </c>
      <c r="E464" s="218">
        <v>250000</v>
      </c>
      <c r="F464" s="126">
        <f>250000-250000</f>
        <v>0</v>
      </c>
      <c r="G464" s="34"/>
      <c r="H464" s="85"/>
    </row>
    <row r="465" spans="1:8" s="6" customFormat="1" ht="36" customHeight="1" x14ac:dyDescent="0.25">
      <c r="A465" s="154"/>
      <c r="B465" s="171"/>
      <c r="C465" s="172"/>
      <c r="D465" s="52" t="s">
        <v>96</v>
      </c>
      <c r="E465" s="218">
        <v>500000</v>
      </c>
      <c r="F465" s="126">
        <v>0</v>
      </c>
      <c r="G465" s="34"/>
      <c r="H465" s="85"/>
    </row>
    <row r="466" spans="1:8" s="6" customFormat="1" ht="36" customHeight="1" x14ac:dyDescent="0.25">
      <c r="A466" s="154"/>
      <c r="B466" s="171"/>
      <c r="C466" s="172"/>
      <c r="D466" s="52" t="s">
        <v>401</v>
      </c>
      <c r="E466" s="218"/>
      <c r="F466" s="126">
        <f>100000-50200</f>
        <v>49800</v>
      </c>
      <c r="G466" s="34">
        <f>1620+46077.11+602.51</f>
        <v>48299.62</v>
      </c>
      <c r="H466" s="85">
        <f t="shared" si="81"/>
        <v>96.987188755020085</v>
      </c>
    </row>
    <row r="467" spans="1:8" s="6" customFormat="1" ht="36" customHeight="1" x14ac:dyDescent="0.25">
      <c r="A467" s="154"/>
      <c r="B467" s="171"/>
      <c r="C467" s="172"/>
      <c r="D467" s="35" t="s">
        <v>494</v>
      </c>
      <c r="E467" s="218"/>
      <c r="F467" s="126">
        <f>42962</f>
        <v>42962</v>
      </c>
      <c r="G467" s="34"/>
      <c r="H467" s="85">
        <f t="shared" si="81"/>
        <v>0</v>
      </c>
    </row>
    <row r="468" spans="1:8" s="6" customFormat="1" ht="36" customHeight="1" x14ac:dyDescent="0.25">
      <c r="A468" s="154"/>
      <c r="B468" s="171"/>
      <c r="C468" s="172"/>
      <c r="D468" s="52" t="s">
        <v>456</v>
      </c>
      <c r="E468" s="218"/>
      <c r="F468" s="126">
        <v>50000</v>
      </c>
      <c r="G468" s="34"/>
      <c r="H468" s="85">
        <f t="shared" si="81"/>
        <v>0</v>
      </c>
    </row>
    <row r="469" spans="1:8" s="6" customFormat="1" ht="36" customHeight="1" x14ac:dyDescent="0.25">
      <c r="A469" s="154"/>
      <c r="B469" s="171"/>
      <c r="C469" s="172"/>
      <c r="D469" s="52" t="s">
        <v>457</v>
      </c>
      <c r="E469" s="218"/>
      <c r="F469" s="126">
        <v>73112</v>
      </c>
      <c r="G469" s="34">
        <f>23200+49907.05</f>
        <v>73107.05</v>
      </c>
      <c r="H469" s="85">
        <f t="shared" si="81"/>
        <v>99.993229565597986</v>
      </c>
    </row>
    <row r="470" spans="1:8" s="6" customFormat="1" ht="21.75" customHeight="1" x14ac:dyDescent="0.25">
      <c r="A470" s="154"/>
      <c r="B470" s="171"/>
      <c r="C470" s="172"/>
      <c r="D470" s="45"/>
      <c r="E470" s="126"/>
      <c r="F470" s="126"/>
      <c r="G470" s="34"/>
      <c r="H470" s="85"/>
    </row>
    <row r="471" spans="1:8" s="6" customFormat="1" ht="33" customHeight="1" x14ac:dyDescent="0.25">
      <c r="A471" s="154"/>
      <c r="B471" s="171">
        <v>3116030</v>
      </c>
      <c r="C471" s="171">
        <v>3132</v>
      </c>
      <c r="D471" s="225" t="s">
        <v>287</v>
      </c>
      <c r="E471" s="41">
        <f t="shared" ref="E471:G471" si="82">SUM(E472:E488)</f>
        <v>1367871</v>
      </c>
      <c r="F471" s="41">
        <f t="shared" si="82"/>
        <v>963891</v>
      </c>
      <c r="G471" s="40">
        <f t="shared" si="82"/>
        <v>820643.83000000007</v>
      </c>
      <c r="H471" s="85">
        <f t="shared" si="81"/>
        <v>85.13865468190906</v>
      </c>
    </row>
    <row r="472" spans="1:8" s="3" customFormat="1" ht="34.5" customHeight="1" x14ac:dyDescent="0.25">
      <c r="A472" s="154"/>
      <c r="B472" s="171"/>
      <c r="C472" s="172"/>
      <c r="D472" s="52" t="s">
        <v>98</v>
      </c>
      <c r="E472" s="218">
        <v>1421</v>
      </c>
      <c r="F472" s="368">
        <v>1421</v>
      </c>
      <c r="G472" s="31">
        <f>1421</f>
        <v>1421</v>
      </c>
      <c r="H472" s="85">
        <f t="shared" si="81"/>
        <v>100</v>
      </c>
    </row>
    <row r="473" spans="1:8" s="3" customFormat="1" ht="34.5" customHeight="1" x14ac:dyDescent="0.25">
      <c r="A473" s="154"/>
      <c r="B473" s="171"/>
      <c r="C473" s="172"/>
      <c r="D473" s="52" t="s">
        <v>99</v>
      </c>
      <c r="E473" s="218">
        <v>100000</v>
      </c>
      <c r="F473" s="368">
        <f>100000-8255</f>
        <v>91745</v>
      </c>
      <c r="G473" s="31">
        <f>90644.4+1100</f>
        <v>91744.4</v>
      </c>
      <c r="H473" s="85">
        <f t="shared" si="81"/>
        <v>99.999346013406722</v>
      </c>
    </row>
    <row r="474" spans="1:8" s="3" customFormat="1" ht="34.5" customHeight="1" x14ac:dyDescent="0.25">
      <c r="A474" s="154"/>
      <c r="B474" s="171"/>
      <c r="C474" s="172"/>
      <c r="D474" s="52" t="s">
        <v>100</v>
      </c>
      <c r="E474" s="218">
        <v>4050</v>
      </c>
      <c r="F474" s="368">
        <v>4050</v>
      </c>
      <c r="G474" s="31">
        <f>4050</f>
        <v>4050</v>
      </c>
      <c r="H474" s="85">
        <f t="shared" si="81"/>
        <v>100</v>
      </c>
    </row>
    <row r="475" spans="1:8" s="3" customFormat="1" ht="34.5" customHeight="1" x14ac:dyDescent="0.25">
      <c r="A475" s="154"/>
      <c r="B475" s="171"/>
      <c r="C475" s="172"/>
      <c r="D475" s="52" t="s">
        <v>101</v>
      </c>
      <c r="E475" s="218">
        <v>63400</v>
      </c>
      <c r="F475" s="368">
        <f>63400-1120</f>
        <v>62280</v>
      </c>
      <c r="G475" s="31">
        <f>193.79+62082.68</f>
        <v>62276.47</v>
      </c>
      <c r="H475" s="85">
        <f t="shared" si="81"/>
        <v>99.994332048811813</v>
      </c>
    </row>
    <row r="476" spans="1:8" s="3" customFormat="1" ht="34.5" customHeight="1" x14ac:dyDescent="0.25">
      <c r="A476" s="154"/>
      <c r="B476" s="171"/>
      <c r="C476" s="172"/>
      <c r="D476" s="52" t="s">
        <v>102</v>
      </c>
      <c r="E476" s="218">
        <v>100000</v>
      </c>
      <c r="F476" s="368">
        <f>100000-100000</f>
        <v>0</v>
      </c>
      <c r="G476" s="31"/>
      <c r="H476" s="85"/>
    </row>
    <row r="477" spans="1:8" s="3" customFormat="1" ht="34.5" customHeight="1" x14ac:dyDescent="0.25">
      <c r="A477" s="154"/>
      <c r="B477" s="171"/>
      <c r="C477" s="172"/>
      <c r="D477" s="52" t="s">
        <v>103</v>
      </c>
      <c r="E477" s="218">
        <v>100000</v>
      </c>
      <c r="F477" s="368">
        <f>100000-1255</f>
        <v>98745</v>
      </c>
      <c r="G477" s="31">
        <f>98536.66+205.3</f>
        <v>98741.96</v>
      </c>
      <c r="H477" s="85">
        <f t="shared" si="81"/>
        <v>99.996921363106992</v>
      </c>
    </row>
    <row r="478" spans="1:8" s="3" customFormat="1" ht="34.5" customHeight="1" x14ac:dyDescent="0.25">
      <c r="A478" s="154"/>
      <c r="B478" s="171"/>
      <c r="C478" s="172"/>
      <c r="D478" s="52" t="s">
        <v>105</v>
      </c>
      <c r="E478" s="218">
        <v>299000</v>
      </c>
      <c r="F478" s="368">
        <f>299000-299000</f>
        <v>0</v>
      </c>
      <c r="G478" s="31"/>
      <c r="H478" s="85"/>
    </row>
    <row r="479" spans="1:8" s="3" customFormat="1" ht="34.5" customHeight="1" x14ac:dyDescent="0.25">
      <c r="A479" s="154"/>
      <c r="B479" s="171"/>
      <c r="C479" s="172"/>
      <c r="D479" s="52" t="s">
        <v>106</v>
      </c>
      <c r="E479" s="218">
        <f t="shared" ref="E479:E488" si="83">100000</f>
        <v>100000</v>
      </c>
      <c r="F479" s="368">
        <f>100000+40000+3742</f>
        <v>143742</v>
      </c>
      <c r="G479" s="31">
        <f>2842+138900+1992</f>
        <v>143734</v>
      </c>
      <c r="H479" s="85">
        <f t="shared" si="81"/>
        <v>99.994434472875014</v>
      </c>
    </row>
    <row r="480" spans="1:8" s="3" customFormat="1" ht="34.5" customHeight="1" x14ac:dyDescent="0.25">
      <c r="A480" s="154"/>
      <c r="B480" s="171"/>
      <c r="C480" s="172"/>
      <c r="D480" s="52" t="s">
        <v>107</v>
      </c>
      <c r="E480" s="218">
        <f t="shared" si="83"/>
        <v>100000</v>
      </c>
      <c r="F480" s="368">
        <f>100000-100000</f>
        <v>0</v>
      </c>
      <c r="G480" s="31"/>
      <c r="H480" s="85"/>
    </row>
    <row r="481" spans="1:8" s="3" customFormat="1" ht="34.5" customHeight="1" x14ac:dyDescent="0.25">
      <c r="A481" s="154"/>
      <c r="B481" s="171"/>
      <c r="C481" s="172"/>
      <c r="D481" s="52" t="s">
        <v>350</v>
      </c>
      <c r="E481" s="218"/>
      <c r="F481" s="368">
        <f>100000+40000+4424</f>
        <v>144424</v>
      </c>
      <c r="G481" s="31">
        <f>1421</f>
        <v>1421</v>
      </c>
      <c r="H481" s="85">
        <f t="shared" si="81"/>
        <v>0.98390849166343552</v>
      </c>
    </row>
    <row r="482" spans="1:8" s="3" customFormat="1" ht="32.25" customHeight="1" x14ac:dyDescent="0.25">
      <c r="A482" s="154"/>
      <c r="B482" s="171"/>
      <c r="C482" s="172"/>
      <c r="D482" s="52" t="s">
        <v>108</v>
      </c>
      <c r="E482" s="218">
        <f t="shared" si="83"/>
        <v>100000</v>
      </c>
      <c r="F482" s="368">
        <f>100000-100000</f>
        <v>0</v>
      </c>
      <c r="G482" s="31"/>
      <c r="H482" s="85"/>
    </row>
    <row r="483" spans="1:8" s="3" customFormat="1" ht="32.25" customHeight="1" x14ac:dyDescent="0.25">
      <c r="A483" s="154"/>
      <c r="B483" s="171"/>
      <c r="C483" s="172"/>
      <c r="D483" s="52" t="s">
        <v>109</v>
      </c>
      <c r="E483" s="218">
        <f t="shared" si="83"/>
        <v>100000</v>
      </c>
      <c r="F483" s="368">
        <f>100000+40000+3742</f>
        <v>143742</v>
      </c>
      <c r="G483" s="31">
        <f>2842+138900+1992</f>
        <v>143734</v>
      </c>
      <c r="H483" s="85">
        <f t="shared" si="81"/>
        <v>99.994434472875014</v>
      </c>
    </row>
    <row r="484" spans="1:8" s="3" customFormat="1" ht="32.25" customHeight="1" x14ac:dyDescent="0.25">
      <c r="A484" s="154"/>
      <c r="B484" s="171"/>
      <c r="C484" s="172"/>
      <c r="D484" s="52" t="s">
        <v>110</v>
      </c>
      <c r="E484" s="218">
        <f t="shared" si="83"/>
        <v>100000</v>
      </c>
      <c r="F484" s="368">
        <f>100000+40000-140000</f>
        <v>0</v>
      </c>
      <c r="G484" s="31"/>
      <c r="H484" s="85"/>
    </row>
    <row r="485" spans="1:8" s="3" customFormat="1" ht="32.25" customHeight="1" x14ac:dyDescent="0.25">
      <c r="A485" s="154"/>
      <c r="B485" s="171"/>
      <c r="C485" s="172"/>
      <c r="D485" s="52" t="s">
        <v>112</v>
      </c>
      <c r="E485" s="218"/>
      <c r="F485" s="368">
        <f>140000+3742</f>
        <v>143742</v>
      </c>
      <c r="G485" s="31">
        <f>2842+138900+1992</f>
        <v>143734</v>
      </c>
      <c r="H485" s="85">
        <f t="shared" si="81"/>
        <v>99.994434472875014</v>
      </c>
    </row>
    <row r="486" spans="1:8" s="3" customFormat="1" ht="32.25" customHeight="1" x14ac:dyDescent="0.25">
      <c r="A486" s="154"/>
      <c r="B486" s="171"/>
      <c r="C486" s="172"/>
      <c r="D486" s="52" t="s">
        <v>111</v>
      </c>
      <c r="E486" s="218">
        <f t="shared" si="83"/>
        <v>100000</v>
      </c>
      <c r="F486" s="368">
        <f>100000-100000</f>
        <v>0</v>
      </c>
      <c r="G486" s="31"/>
      <c r="H486" s="85"/>
    </row>
    <row r="487" spans="1:8" s="3" customFormat="1" ht="32.25" customHeight="1" x14ac:dyDescent="0.25">
      <c r="A487" s="154"/>
      <c r="B487" s="171"/>
      <c r="C487" s="172"/>
      <c r="D487" s="47" t="s">
        <v>181</v>
      </c>
      <c r="E487" s="218"/>
      <c r="F487" s="368">
        <f>130000</f>
        <v>130000</v>
      </c>
      <c r="G487" s="31">
        <f>128000+1787</f>
        <v>129787</v>
      </c>
      <c r="H487" s="85">
        <f t="shared" si="81"/>
        <v>99.836153846153834</v>
      </c>
    </row>
    <row r="488" spans="1:8" s="3" customFormat="1" ht="32.25" customHeight="1" x14ac:dyDescent="0.25">
      <c r="A488" s="154"/>
      <c r="B488" s="171"/>
      <c r="C488" s="172"/>
      <c r="D488" s="52" t="s">
        <v>113</v>
      </c>
      <c r="E488" s="218">
        <f t="shared" si="83"/>
        <v>100000</v>
      </c>
      <c r="F488" s="368">
        <f>100000-100000</f>
        <v>0</v>
      </c>
      <c r="G488" s="31"/>
      <c r="H488" s="85"/>
    </row>
    <row r="489" spans="1:8" s="6" customFormat="1" ht="21" customHeight="1" x14ac:dyDescent="0.25">
      <c r="A489" s="213"/>
      <c r="B489" s="171"/>
      <c r="C489" s="172"/>
      <c r="D489" s="50"/>
      <c r="E489" s="126"/>
      <c r="F489" s="126"/>
      <c r="G489" s="31"/>
      <c r="H489" s="85"/>
    </row>
    <row r="490" spans="1:8" s="6" customFormat="1" ht="42.75" customHeight="1" x14ac:dyDescent="0.25">
      <c r="A490" s="213"/>
      <c r="B490" s="171">
        <v>3116030</v>
      </c>
      <c r="C490" s="171">
        <v>3132</v>
      </c>
      <c r="D490" s="226" t="s">
        <v>321</v>
      </c>
      <c r="E490" s="120">
        <f t="shared" ref="E490" si="84">SUM(E491:E497)</f>
        <v>555500</v>
      </c>
      <c r="F490" s="120">
        <f>SUM(F491:F497)</f>
        <v>408600</v>
      </c>
      <c r="G490" s="33">
        <f>SUM(G491:G497)</f>
        <v>259609.54</v>
      </c>
      <c r="H490" s="85">
        <f t="shared" si="81"/>
        <v>63.536353401860012</v>
      </c>
    </row>
    <row r="491" spans="1:8" s="6" customFormat="1" ht="35.25" customHeight="1" x14ac:dyDescent="0.25">
      <c r="A491" s="213"/>
      <c r="B491" s="171"/>
      <c r="C491" s="172"/>
      <c r="D491" s="52" t="s">
        <v>114</v>
      </c>
      <c r="E491" s="218">
        <v>150000</v>
      </c>
      <c r="F491" s="368">
        <f>150000-146900</f>
        <v>3100</v>
      </c>
      <c r="G491" s="31">
        <f>3043.89</f>
        <v>3043.89</v>
      </c>
      <c r="H491" s="85">
        <f t="shared" si="81"/>
        <v>98.19</v>
      </c>
    </row>
    <row r="492" spans="1:8" s="6" customFormat="1" ht="35.25" customHeight="1" x14ac:dyDescent="0.25">
      <c r="A492" s="213"/>
      <c r="B492" s="171"/>
      <c r="C492" s="172"/>
      <c r="D492" s="52" t="s">
        <v>115</v>
      </c>
      <c r="E492" s="218">
        <v>5500</v>
      </c>
      <c r="F492" s="368">
        <v>5500</v>
      </c>
      <c r="G492" s="31">
        <f>5400</f>
        <v>5400</v>
      </c>
      <c r="H492" s="85">
        <f t="shared" si="81"/>
        <v>98.181818181818187</v>
      </c>
    </row>
    <row r="493" spans="1:8" s="6" customFormat="1" ht="35.25" customHeight="1" x14ac:dyDescent="0.25">
      <c r="A493" s="213"/>
      <c r="B493" s="171"/>
      <c r="C493" s="172"/>
      <c r="D493" s="52" t="s">
        <v>116</v>
      </c>
      <c r="E493" s="218">
        <v>100000</v>
      </c>
      <c r="F493" s="368">
        <v>100000</v>
      </c>
      <c r="G493" s="31">
        <f>5400+92826.67+1451</f>
        <v>99677.67</v>
      </c>
      <c r="H493" s="85">
        <f t="shared" si="81"/>
        <v>99.677669999999992</v>
      </c>
    </row>
    <row r="494" spans="1:8" s="6" customFormat="1" ht="35.25" customHeight="1" x14ac:dyDescent="0.25">
      <c r="A494" s="213"/>
      <c r="B494" s="171"/>
      <c r="C494" s="172"/>
      <c r="D494" s="52" t="s">
        <v>117</v>
      </c>
      <c r="E494" s="218">
        <v>150000</v>
      </c>
      <c r="F494" s="368">
        <f>150000-150000</f>
        <v>0</v>
      </c>
      <c r="G494" s="31"/>
      <c r="H494" s="85"/>
    </row>
    <row r="495" spans="1:8" s="6" customFormat="1" ht="35.25" customHeight="1" x14ac:dyDescent="0.25">
      <c r="A495" s="213"/>
      <c r="B495" s="171"/>
      <c r="C495" s="172"/>
      <c r="D495" s="52" t="s">
        <v>402</v>
      </c>
      <c r="E495" s="218"/>
      <c r="F495" s="368">
        <v>150000</v>
      </c>
      <c r="G495" s="31">
        <f>2954.89+143379.54+89+1753</f>
        <v>148176.43000000002</v>
      </c>
      <c r="H495" s="85">
        <f t="shared" si="81"/>
        <v>98.784286666666674</v>
      </c>
    </row>
    <row r="496" spans="1:8" s="6" customFormat="1" ht="35.25" customHeight="1" x14ac:dyDescent="0.25">
      <c r="A496" s="213"/>
      <c r="B496" s="171"/>
      <c r="C496" s="172"/>
      <c r="D496" s="52" t="s">
        <v>118</v>
      </c>
      <c r="E496" s="218">
        <v>150000</v>
      </c>
      <c r="F496" s="368">
        <v>150000</v>
      </c>
      <c r="G496" s="31">
        <f>3043.89+267.66</f>
        <v>3311.5499999999997</v>
      </c>
      <c r="H496" s="85">
        <f t="shared" si="81"/>
        <v>2.2077</v>
      </c>
    </row>
    <row r="497" spans="1:8" s="6" customFormat="1" ht="23.25" customHeight="1" x14ac:dyDescent="0.25">
      <c r="A497" s="213"/>
      <c r="B497" s="171"/>
      <c r="C497" s="172"/>
      <c r="D497" s="173"/>
      <c r="E497" s="126"/>
      <c r="F497" s="220"/>
      <c r="G497" s="31"/>
      <c r="H497" s="85"/>
    </row>
    <row r="498" spans="1:8" s="6" customFormat="1" ht="40.5" customHeight="1" x14ac:dyDescent="0.25">
      <c r="A498" s="213"/>
      <c r="B498" s="171">
        <v>3116030</v>
      </c>
      <c r="C498" s="171">
        <v>3132</v>
      </c>
      <c r="D498" s="227" t="s">
        <v>288</v>
      </c>
      <c r="E498" s="41">
        <f>SUM(E499:E508)</f>
        <v>2813500</v>
      </c>
      <c r="F498" s="41">
        <f>SUM(F499:F509)</f>
        <v>2299029</v>
      </c>
      <c r="G498" s="40">
        <f>SUM(G499:G509)</f>
        <v>1605395.3</v>
      </c>
      <c r="H498" s="85">
        <f t="shared" si="81"/>
        <v>69.829275750762605</v>
      </c>
    </row>
    <row r="499" spans="1:8" s="6" customFormat="1" ht="55.5" customHeight="1" x14ac:dyDescent="0.25">
      <c r="A499" s="154"/>
      <c r="B499" s="171"/>
      <c r="C499" s="172"/>
      <c r="D499" s="30" t="s">
        <v>119</v>
      </c>
      <c r="E499" s="101">
        <v>300000</v>
      </c>
      <c r="F499" s="235">
        <v>300000</v>
      </c>
      <c r="G499" s="34">
        <f>4008+4263</f>
        <v>8271</v>
      </c>
      <c r="H499" s="85">
        <f t="shared" si="81"/>
        <v>2.7570000000000001</v>
      </c>
    </row>
    <row r="500" spans="1:8" s="6" customFormat="1" ht="35.25" customHeight="1" x14ac:dyDescent="0.25">
      <c r="A500" s="154"/>
      <c r="B500" s="171"/>
      <c r="C500" s="172"/>
      <c r="D500" s="30" t="s">
        <v>120</v>
      </c>
      <c r="E500" s="101">
        <v>200000</v>
      </c>
      <c r="F500" s="235">
        <f>200000-89000</f>
        <v>111000</v>
      </c>
      <c r="G500" s="34">
        <f>2842</f>
        <v>2842</v>
      </c>
      <c r="H500" s="85">
        <f t="shared" si="81"/>
        <v>2.5603603603603604</v>
      </c>
    </row>
    <row r="501" spans="1:8" s="6" customFormat="1" ht="35.25" customHeight="1" x14ac:dyDescent="0.25">
      <c r="A501" s="154"/>
      <c r="B501" s="171"/>
      <c r="C501" s="172"/>
      <c r="D501" s="52" t="s">
        <v>121</v>
      </c>
      <c r="E501" s="218">
        <v>292000</v>
      </c>
      <c r="F501" s="368">
        <v>292000</v>
      </c>
      <c r="G501" s="34">
        <f>288266.8+3703</f>
        <v>291969.8</v>
      </c>
      <c r="H501" s="85">
        <f t="shared" si="81"/>
        <v>99.989657534246561</v>
      </c>
    </row>
    <row r="502" spans="1:8" s="6" customFormat="1" ht="31.5" customHeight="1" x14ac:dyDescent="0.25">
      <c r="A502" s="154"/>
      <c r="B502" s="171"/>
      <c r="C502" s="172"/>
      <c r="D502" s="52" t="s">
        <v>122</v>
      </c>
      <c r="E502" s="218">
        <v>276500</v>
      </c>
      <c r="F502" s="368">
        <v>276500</v>
      </c>
      <c r="G502" s="34">
        <f>272660.4+3839.6</f>
        <v>276500</v>
      </c>
      <c r="H502" s="85">
        <f t="shared" si="81"/>
        <v>100</v>
      </c>
    </row>
    <row r="503" spans="1:8" s="6" customFormat="1" ht="48" customHeight="1" x14ac:dyDescent="0.25">
      <c r="A503" s="154"/>
      <c r="B503" s="171"/>
      <c r="C503" s="172"/>
      <c r="D503" s="30" t="s">
        <v>123</v>
      </c>
      <c r="E503" s="101">
        <v>300000</v>
      </c>
      <c r="F503" s="235">
        <v>300000</v>
      </c>
      <c r="G503" s="34">
        <f>4008+4263</f>
        <v>8271</v>
      </c>
      <c r="H503" s="85">
        <f t="shared" si="81"/>
        <v>2.7570000000000001</v>
      </c>
    </row>
    <row r="504" spans="1:8" s="6" customFormat="1" ht="31.5" customHeight="1" x14ac:dyDescent="0.25">
      <c r="A504" s="154"/>
      <c r="B504" s="171"/>
      <c r="C504" s="172"/>
      <c r="D504" s="52" t="s">
        <v>124</v>
      </c>
      <c r="E504" s="218">
        <v>298000</v>
      </c>
      <c r="F504" s="368">
        <v>298000</v>
      </c>
      <c r="G504" s="34">
        <f>293600+4400</f>
        <v>298000</v>
      </c>
      <c r="H504" s="85">
        <f t="shared" si="81"/>
        <v>100</v>
      </c>
    </row>
    <row r="505" spans="1:8" s="6" customFormat="1" ht="31.5" customHeight="1" x14ac:dyDescent="0.25">
      <c r="A505" s="154"/>
      <c r="B505" s="171"/>
      <c r="C505" s="172"/>
      <c r="D505" s="228" t="s">
        <v>125</v>
      </c>
      <c r="E505" s="218">
        <v>297000</v>
      </c>
      <c r="F505" s="368">
        <v>297000</v>
      </c>
      <c r="G505" s="34">
        <f>3500+293500</f>
        <v>297000</v>
      </c>
      <c r="H505" s="85">
        <f t="shared" si="81"/>
        <v>100</v>
      </c>
    </row>
    <row r="506" spans="1:8" s="6" customFormat="1" ht="31.5" customHeight="1" x14ac:dyDescent="0.25">
      <c r="A506" s="154"/>
      <c r="B506" s="171"/>
      <c r="C506" s="172"/>
      <c r="D506" s="35" t="s">
        <v>128</v>
      </c>
      <c r="E506" s="218">
        <v>350000</v>
      </c>
      <c r="F506" s="368">
        <v>350000</v>
      </c>
      <c r="G506" s="34">
        <f>9903+4989.83+335107.17</f>
        <v>350000</v>
      </c>
      <c r="H506" s="85">
        <f t="shared" si="81"/>
        <v>100</v>
      </c>
    </row>
    <row r="507" spans="1:8" s="6" customFormat="1" ht="31.5" customHeight="1" x14ac:dyDescent="0.25">
      <c r="A507" s="154"/>
      <c r="B507" s="171"/>
      <c r="C507" s="172"/>
      <c r="D507" s="47" t="s">
        <v>369</v>
      </c>
      <c r="E507" s="218"/>
      <c r="F507" s="368">
        <f>36258</f>
        <v>36258</v>
      </c>
      <c r="G507" s="34">
        <f>1620+33871.56+400</f>
        <v>35891.56</v>
      </c>
      <c r="H507" s="85">
        <f t="shared" si="81"/>
        <v>98.989354073583755</v>
      </c>
    </row>
    <row r="508" spans="1:8" s="6" customFormat="1" ht="62.25" customHeight="1" x14ac:dyDescent="0.25">
      <c r="A508" s="154"/>
      <c r="B508" s="171"/>
      <c r="C508" s="172"/>
      <c r="D508" s="228" t="s">
        <v>129</v>
      </c>
      <c r="E508" s="218">
        <v>500000</v>
      </c>
      <c r="F508" s="368">
        <f>500000-491729</f>
        <v>8271</v>
      </c>
      <c r="G508" s="34">
        <f>4008+4263</f>
        <v>8271</v>
      </c>
      <c r="H508" s="85">
        <f t="shared" si="81"/>
        <v>100</v>
      </c>
    </row>
    <row r="509" spans="1:8" s="6" customFormat="1" ht="36.75" customHeight="1" x14ac:dyDescent="0.25">
      <c r="A509" s="154"/>
      <c r="B509" s="171"/>
      <c r="C509" s="172"/>
      <c r="D509" s="35" t="s">
        <v>403</v>
      </c>
      <c r="E509" s="218"/>
      <c r="F509" s="368">
        <v>30000</v>
      </c>
      <c r="G509" s="34">
        <f>1620+26442.94+316</f>
        <v>28378.94</v>
      </c>
      <c r="H509" s="85">
        <f t="shared" si="81"/>
        <v>94.596466666666672</v>
      </c>
    </row>
    <row r="510" spans="1:8" s="6" customFormat="1" ht="19.5" customHeight="1" x14ac:dyDescent="0.25">
      <c r="A510" s="154"/>
      <c r="B510" s="171"/>
      <c r="C510" s="172"/>
      <c r="D510" s="106"/>
      <c r="E510" s="229"/>
      <c r="F510" s="126"/>
      <c r="G510" s="34"/>
      <c r="H510" s="85"/>
    </row>
    <row r="511" spans="1:8" s="6" customFormat="1" ht="31.5" customHeight="1" x14ac:dyDescent="0.25">
      <c r="A511" s="154"/>
      <c r="B511" s="171"/>
      <c r="C511" s="172"/>
      <c r="D511" s="225" t="s">
        <v>324</v>
      </c>
      <c r="E511" s="230">
        <f>SUM(E512)</f>
        <v>299000</v>
      </c>
      <c r="F511" s="41">
        <f>SUM(F512:F513)</f>
        <v>304331</v>
      </c>
      <c r="G511" s="41">
        <f>SUM(G512:G513)</f>
        <v>304330.65999999997</v>
      </c>
      <c r="H511" s="85">
        <f t="shared" si="81"/>
        <v>99.999888279537728</v>
      </c>
    </row>
    <row r="512" spans="1:8" s="6" customFormat="1" ht="31.5" customHeight="1" x14ac:dyDescent="0.25">
      <c r="A512" s="154"/>
      <c r="B512" s="171"/>
      <c r="C512" s="172"/>
      <c r="D512" s="35" t="s">
        <v>130</v>
      </c>
      <c r="E512" s="124">
        <f>299000</f>
        <v>299000</v>
      </c>
      <c r="F512" s="355">
        <f>299000-97596-19260-18416</f>
        <v>163728</v>
      </c>
      <c r="G512" s="34">
        <f>159396+1571.25+1950.61+810</f>
        <v>163727.85999999999</v>
      </c>
      <c r="H512" s="85">
        <f t="shared" si="81"/>
        <v>99.999914492328728</v>
      </c>
    </row>
    <row r="513" spans="1:8" s="6" customFormat="1" ht="31.5" customHeight="1" x14ac:dyDescent="0.25">
      <c r="A513" s="154"/>
      <c r="B513" s="171"/>
      <c r="C513" s="172"/>
      <c r="D513" s="35" t="s">
        <v>153</v>
      </c>
      <c r="E513" s="124"/>
      <c r="F513" s="355">
        <f>150000-9397</f>
        <v>140603</v>
      </c>
      <c r="G513" s="34">
        <f>140602.8</f>
        <v>140602.79999999999</v>
      </c>
      <c r="H513" s="85">
        <f t="shared" si="81"/>
        <v>99.999857755524417</v>
      </c>
    </row>
    <row r="514" spans="1:8" s="6" customFormat="1" ht="22.5" customHeight="1" x14ac:dyDescent="0.25">
      <c r="A514" s="231"/>
      <c r="B514" s="171"/>
      <c r="C514" s="172"/>
      <c r="D514" s="173"/>
      <c r="E514" s="126"/>
      <c r="F514" s="355"/>
      <c r="G514" s="34"/>
      <c r="H514" s="85"/>
    </row>
    <row r="515" spans="1:8" s="6" customFormat="1" ht="29.25" customHeight="1" x14ac:dyDescent="0.25">
      <c r="A515" s="232" t="s">
        <v>320</v>
      </c>
      <c r="B515" s="184" t="s">
        <v>298</v>
      </c>
      <c r="C515" s="172"/>
      <c r="D515" s="173"/>
      <c r="E515" s="233">
        <f t="shared" ref="E515:G515" si="85">E516</f>
        <v>70000</v>
      </c>
      <c r="F515" s="369">
        <f t="shared" si="85"/>
        <v>70000</v>
      </c>
      <c r="G515" s="129">
        <f t="shared" si="85"/>
        <v>67531.960000000006</v>
      </c>
      <c r="H515" s="85">
        <f t="shared" si="81"/>
        <v>96.474228571428583</v>
      </c>
    </row>
    <row r="516" spans="1:8" s="6" customFormat="1" ht="27.75" customHeight="1" x14ac:dyDescent="0.25">
      <c r="A516" s="28"/>
      <c r="B516" s="234"/>
      <c r="C516" s="172"/>
      <c r="D516" s="36" t="s">
        <v>266</v>
      </c>
      <c r="E516" s="230">
        <f t="shared" ref="E516:G516" si="86">SUM(E517)</f>
        <v>70000</v>
      </c>
      <c r="F516" s="370">
        <f t="shared" si="86"/>
        <v>70000</v>
      </c>
      <c r="G516" s="100">
        <f t="shared" si="86"/>
        <v>67531.960000000006</v>
      </c>
      <c r="H516" s="85">
        <f t="shared" si="81"/>
        <v>96.474228571428583</v>
      </c>
    </row>
    <row r="517" spans="1:8" s="6" customFormat="1" ht="36" customHeight="1" x14ac:dyDescent="0.25">
      <c r="A517" s="231"/>
      <c r="B517" s="171"/>
      <c r="C517" s="172"/>
      <c r="D517" s="35" t="s">
        <v>131</v>
      </c>
      <c r="E517" s="218">
        <v>70000</v>
      </c>
      <c r="F517" s="371">
        <f>70000</f>
        <v>70000</v>
      </c>
      <c r="G517" s="34">
        <f>67381.08+150.88</f>
        <v>67531.960000000006</v>
      </c>
      <c r="H517" s="85">
        <f t="shared" si="81"/>
        <v>96.474228571428583</v>
      </c>
    </row>
    <row r="518" spans="1:8" s="6" customFormat="1" ht="24.75" customHeight="1" x14ac:dyDescent="0.25">
      <c r="A518" s="231"/>
      <c r="B518" s="171"/>
      <c r="C518" s="172"/>
      <c r="D518" s="173"/>
      <c r="E518" s="235"/>
      <c r="F518" s="368"/>
      <c r="G518" s="34"/>
      <c r="H518" s="85"/>
    </row>
    <row r="519" spans="1:8" s="6" customFormat="1" ht="24.75" hidden="1" customHeight="1" x14ac:dyDescent="0.25">
      <c r="A519" s="184" t="s">
        <v>233</v>
      </c>
      <c r="B519" s="171">
        <v>7330</v>
      </c>
      <c r="C519" s="143"/>
      <c r="D519" s="125"/>
      <c r="E519" s="236">
        <f>E520</f>
        <v>0</v>
      </c>
      <c r="F519" s="372">
        <f>F520</f>
        <v>0</v>
      </c>
      <c r="G519" s="236">
        <f>G520</f>
        <v>0</v>
      </c>
      <c r="H519" s="85" t="e">
        <f t="shared" si="81"/>
        <v>#DIV/0!</v>
      </c>
    </row>
    <row r="520" spans="1:8" s="6" customFormat="1" ht="24.75" hidden="1" customHeight="1" x14ac:dyDescent="0.25">
      <c r="A520" s="144"/>
      <c r="B520" s="145"/>
      <c r="C520" s="143"/>
      <c r="D520" s="36" t="s">
        <v>266</v>
      </c>
      <c r="E520" s="237">
        <f t="shared" ref="E520:G520" si="87">SUM(E521)</f>
        <v>0</v>
      </c>
      <c r="F520" s="373">
        <f t="shared" si="87"/>
        <v>0</v>
      </c>
      <c r="G520" s="237">
        <f t="shared" si="87"/>
        <v>0</v>
      </c>
      <c r="H520" s="85" t="e">
        <f t="shared" si="81"/>
        <v>#DIV/0!</v>
      </c>
    </row>
    <row r="521" spans="1:8" s="6" customFormat="1" ht="33" hidden="1" customHeight="1" x14ac:dyDescent="0.25">
      <c r="A521" s="109"/>
      <c r="B521" s="61"/>
      <c r="C521" s="43"/>
      <c r="D521" s="49"/>
      <c r="E521" s="235"/>
      <c r="F521" s="374"/>
      <c r="G521" s="101"/>
      <c r="H521" s="85" t="e">
        <f t="shared" si="81"/>
        <v>#DIV/0!</v>
      </c>
    </row>
    <row r="522" spans="1:8" s="6" customFormat="1" ht="24.75" hidden="1" customHeight="1" x14ac:dyDescent="0.25">
      <c r="A522" s="231"/>
      <c r="B522" s="171"/>
      <c r="C522" s="172"/>
      <c r="D522" s="173"/>
      <c r="E522" s="235"/>
      <c r="F522" s="368"/>
      <c r="G522" s="101"/>
      <c r="H522" s="85" t="e">
        <f t="shared" si="81"/>
        <v>#DIV/0!</v>
      </c>
    </row>
    <row r="523" spans="1:8" s="6" customFormat="1" ht="28.5" customHeight="1" x14ac:dyDescent="0.25">
      <c r="A523" s="28" t="s">
        <v>289</v>
      </c>
      <c r="B523" s="171">
        <v>7370</v>
      </c>
      <c r="C523" s="172"/>
      <c r="D523" s="173"/>
      <c r="E523" s="233">
        <f t="shared" ref="E523:G523" si="88">E524+E537</f>
        <v>105000</v>
      </c>
      <c r="F523" s="369">
        <f>F524+F537</f>
        <v>3742200</v>
      </c>
      <c r="G523" s="129">
        <f t="shared" si="88"/>
        <v>2046167.89</v>
      </c>
      <c r="H523" s="85">
        <f t="shared" ref="H523:H578" si="89">G523/F523*100</f>
        <v>54.678207738763298</v>
      </c>
    </row>
    <row r="524" spans="1:8" s="14" customFormat="1" ht="31.5" customHeight="1" x14ac:dyDescent="0.25">
      <c r="A524" s="28"/>
      <c r="B524" s="234"/>
      <c r="C524" s="172"/>
      <c r="D524" s="36" t="s">
        <v>266</v>
      </c>
      <c r="E524" s="230">
        <f t="shared" ref="E524:G524" si="90">SUM(E525:E536)</f>
        <v>105000</v>
      </c>
      <c r="F524" s="370">
        <f>SUM(F525:F536)</f>
        <v>3742200</v>
      </c>
      <c r="G524" s="100">
        <f t="shared" si="90"/>
        <v>2046167.89</v>
      </c>
      <c r="H524" s="85">
        <f t="shared" si="89"/>
        <v>54.678207738763298</v>
      </c>
    </row>
    <row r="525" spans="1:8" s="6" customFormat="1" ht="35.25" customHeight="1" x14ac:dyDescent="0.25">
      <c r="A525" s="231"/>
      <c r="B525" s="151"/>
      <c r="C525" s="171"/>
      <c r="D525" s="35" t="s">
        <v>132</v>
      </c>
      <c r="E525" s="218">
        <v>105000</v>
      </c>
      <c r="F525" s="235">
        <f>105000</f>
        <v>105000</v>
      </c>
      <c r="G525" s="34">
        <f>102903+1308.69</f>
        <v>104211.69</v>
      </c>
      <c r="H525" s="85">
        <f t="shared" si="89"/>
        <v>99.249228571428574</v>
      </c>
    </row>
    <row r="526" spans="1:8" s="6" customFormat="1" ht="35.25" customHeight="1" x14ac:dyDescent="0.25">
      <c r="A526" s="231"/>
      <c r="B526" s="151"/>
      <c r="C526" s="171"/>
      <c r="D526" s="44" t="s">
        <v>184</v>
      </c>
      <c r="E526" s="218"/>
      <c r="F526" s="235">
        <v>0</v>
      </c>
      <c r="G526" s="34"/>
      <c r="H526" s="85"/>
    </row>
    <row r="527" spans="1:8" s="6" customFormat="1" ht="35.25" customHeight="1" x14ac:dyDescent="0.25">
      <c r="A527" s="231"/>
      <c r="B527" s="151"/>
      <c r="C527" s="171"/>
      <c r="D527" s="44" t="s">
        <v>404</v>
      </c>
      <c r="E527" s="218"/>
      <c r="F527" s="235">
        <f>298000+399000</f>
        <v>697000</v>
      </c>
      <c r="G527" s="34">
        <f>44280+3994</f>
        <v>48274</v>
      </c>
      <c r="H527" s="85">
        <f t="shared" si="89"/>
        <v>6.9259684361549496</v>
      </c>
    </row>
    <row r="528" spans="1:8" s="6" customFormat="1" ht="35.25" customHeight="1" x14ac:dyDescent="0.25">
      <c r="A528" s="231"/>
      <c r="B528" s="151"/>
      <c r="C528" s="171"/>
      <c r="D528" s="44" t="s">
        <v>211</v>
      </c>
      <c r="E528" s="218"/>
      <c r="F528" s="126">
        <f>50000+11000</f>
        <v>61000</v>
      </c>
      <c r="G528" s="34">
        <f>49405.94</f>
        <v>49405.94</v>
      </c>
      <c r="H528" s="85">
        <f t="shared" si="89"/>
        <v>80.993344262295082</v>
      </c>
    </row>
    <row r="529" spans="1:8" s="6" customFormat="1" ht="35.25" customHeight="1" x14ac:dyDescent="0.25">
      <c r="A529" s="231"/>
      <c r="B529" s="151"/>
      <c r="C529" s="171"/>
      <c r="D529" s="44" t="s">
        <v>212</v>
      </c>
      <c r="E529" s="218"/>
      <c r="F529" s="126">
        <f>50000+1150000-837000</f>
        <v>363000</v>
      </c>
      <c r="G529" s="34">
        <f>49620.21</f>
        <v>49620.21</v>
      </c>
      <c r="H529" s="85">
        <f t="shared" si="89"/>
        <v>13.669479338842974</v>
      </c>
    </row>
    <row r="530" spans="1:8" s="6" customFormat="1" ht="35.25" customHeight="1" x14ac:dyDescent="0.25">
      <c r="A530" s="231"/>
      <c r="B530" s="151"/>
      <c r="C530" s="171"/>
      <c r="D530" s="44" t="s">
        <v>213</v>
      </c>
      <c r="E530" s="218"/>
      <c r="F530" s="126">
        <f>50000+11000</f>
        <v>61000</v>
      </c>
      <c r="G530" s="34">
        <f>49251.83+10482</f>
        <v>59733.83</v>
      </c>
      <c r="H530" s="85">
        <f t="shared" si="89"/>
        <v>97.924311475409837</v>
      </c>
    </row>
    <row r="531" spans="1:8" s="6" customFormat="1" ht="35.25" customHeight="1" x14ac:dyDescent="0.25">
      <c r="A531" s="231"/>
      <c r="B531" s="151"/>
      <c r="C531" s="171"/>
      <c r="D531" s="44" t="s">
        <v>214</v>
      </c>
      <c r="E531" s="218"/>
      <c r="F531" s="126">
        <f>50000+11000</f>
        <v>61000</v>
      </c>
      <c r="G531" s="34">
        <f>49445.04</f>
        <v>49445.04</v>
      </c>
      <c r="H531" s="85">
        <f t="shared" si="89"/>
        <v>81.05744262295083</v>
      </c>
    </row>
    <row r="532" spans="1:8" s="6" customFormat="1" ht="35.25" customHeight="1" x14ac:dyDescent="0.25">
      <c r="A532" s="231"/>
      <c r="B532" s="151"/>
      <c r="C532" s="171"/>
      <c r="D532" s="44" t="s">
        <v>215</v>
      </c>
      <c r="E532" s="218"/>
      <c r="F532" s="126">
        <f>50000+11000</f>
        <v>61000</v>
      </c>
      <c r="G532" s="34">
        <f>49743.46</f>
        <v>49743.46</v>
      </c>
      <c r="H532" s="85">
        <f t="shared" si="89"/>
        <v>81.546655737704924</v>
      </c>
    </row>
    <row r="533" spans="1:8" s="6" customFormat="1" ht="35.25" customHeight="1" x14ac:dyDescent="0.25">
      <c r="A533" s="231"/>
      <c r="B533" s="151"/>
      <c r="C533" s="171"/>
      <c r="D533" s="44" t="s">
        <v>495</v>
      </c>
      <c r="E533" s="218"/>
      <c r="F533" s="126">
        <f>521000</f>
        <v>521000</v>
      </c>
      <c r="G533" s="34"/>
      <c r="H533" s="85">
        <f t="shared" si="89"/>
        <v>0</v>
      </c>
    </row>
    <row r="534" spans="1:8" s="6" customFormat="1" ht="35.25" customHeight="1" x14ac:dyDescent="0.25">
      <c r="A534" s="231"/>
      <c r="B534" s="151"/>
      <c r="C534" s="171"/>
      <c r="D534" s="35" t="s">
        <v>199</v>
      </c>
      <c r="E534" s="218"/>
      <c r="F534" s="235">
        <f>100000+1562000+50200</f>
        <v>1712200</v>
      </c>
      <c r="G534" s="34">
        <f>49384+758607.84+752074.93+20400+9554.76+9712.19</f>
        <v>1599733.72</v>
      </c>
      <c r="H534" s="85">
        <f t="shared" si="89"/>
        <v>93.431475294942175</v>
      </c>
    </row>
    <row r="535" spans="1:8" s="6" customFormat="1" ht="35.25" customHeight="1" x14ac:dyDescent="0.25">
      <c r="A535" s="231"/>
      <c r="B535" s="151"/>
      <c r="C535" s="171"/>
      <c r="D535" s="35" t="s">
        <v>468</v>
      </c>
      <c r="E535" s="218"/>
      <c r="F535" s="235">
        <f>100000</f>
        <v>100000</v>
      </c>
      <c r="G535" s="34">
        <f>36000</f>
        <v>36000</v>
      </c>
      <c r="H535" s="85">
        <f t="shared" si="89"/>
        <v>36</v>
      </c>
    </row>
    <row r="536" spans="1:8" s="6" customFormat="1" ht="24.75" customHeight="1" x14ac:dyDescent="0.25">
      <c r="A536" s="231"/>
      <c r="B536" s="151"/>
      <c r="C536" s="171"/>
      <c r="D536" s="238"/>
      <c r="E536" s="239"/>
      <c r="F536" s="375"/>
      <c r="G536" s="101"/>
      <c r="H536" s="85"/>
    </row>
    <row r="537" spans="1:8" s="6" customFormat="1" ht="22.5" hidden="1" customHeight="1" x14ac:dyDescent="0.25">
      <c r="A537" s="28"/>
      <c r="B537" s="171"/>
      <c r="C537" s="172"/>
      <c r="D537" s="36" t="s">
        <v>264</v>
      </c>
      <c r="E537" s="230">
        <f t="shared" ref="E537:G537" si="91">SUM(E538:E538)</f>
        <v>0</v>
      </c>
      <c r="F537" s="370">
        <f t="shared" si="91"/>
        <v>0</v>
      </c>
      <c r="G537" s="230">
        <f t="shared" si="91"/>
        <v>0</v>
      </c>
      <c r="H537" s="85"/>
    </row>
    <row r="538" spans="1:8" s="6" customFormat="1" ht="25.5" hidden="1" customHeight="1" x14ac:dyDescent="0.25">
      <c r="A538" s="28"/>
      <c r="B538" s="171"/>
      <c r="C538" s="172"/>
      <c r="D538" s="106"/>
      <c r="E538" s="229"/>
      <c r="F538" s="235"/>
      <c r="G538" s="218"/>
      <c r="H538" s="85"/>
    </row>
    <row r="539" spans="1:8" s="6" customFormat="1" ht="23.25" hidden="1" customHeight="1" x14ac:dyDescent="0.25">
      <c r="A539" s="231"/>
      <c r="B539" s="151"/>
      <c r="C539" s="171"/>
      <c r="D539" s="238"/>
      <c r="E539" s="239"/>
      <c r="F539" s="375"/>
      <c r="G539" s="101"/>
      <c r="H539" s="85"/>
    </row>
    <row r="540" spans="1:8" s="6" customFormat="1" ht="23.25" customHeight="1" x14ac:dyDescent="0.25">
      <c r="A540" s="28">
        <v>3117461</v>
      </c>
      <c r="B540" s="171">
        <v>7461</v>
      </c>
      <c r="C540" s="172"/>
      <c r="D540" s="173"/>
      <c r="E540" s="233">
        <f t="shared" ref="E540:G540" si="92">E541</f>
        <v>1000000</v>
      </c>
      <c r="F540" s="369">
        <f t="shared" si="92"/>
        <v>0</v>
      </c>
      <c r="G540" s="233">
        <f t="shared" si="92"/>
        <v>0</v>
      </c>
      <c r="H540" s="85"/>
    </row>
    <row r="541" spans="1:8" s="6" customFormat="1" ht="23.25" customHeight="1" x14ac:dyDescent="0.25">
      <c r="A541" s="28"/>
      <c r="B541" s="234"/>
      <c r="C541" s="172"/>
      <c r="D541" s="36" t="s">
        <v>253</v>
      </c>
      <c r="E541" s="230">
        <f t="shared" ref="E541:G541" si="93">SUM(E542:E542)</f>
        <v>1000000</v>
      </c>
      <c r="F541" s="370">
        <f t="shared" si="93"/>
        <v>0</v>
      </c>
      <c r="G541" s="230">
        <f t="shared" si="93"/>
        <v>0</v>
      </c>
      <c r="H541" s="85"/>
    </row>
    <row r="542" spans="1:8" s="6" customFormat="1" ht="39.75" customHeight="1" x14ac:dyDescent="0.25">
      <c r="A542" s="231"/>
      <c r="B542" s="151"/>
      <c r="C542" s="171"/>
      <c r="D542" s="35" t="s">
        <v>138</v>
      </c>
      <c r="E542" s="218">
        <v>1000000</v>
      </c>
      <c r="F542" s="235">
        <f>1000000-1000000</f>
        <v>0</v>
      </c>
      <c r="G542" s="101"/>
      <c r="H542" s="85"/>
    </row>
    <row r="543" spans="1:8" s="6" customFormat="1" ht="24.75" customHeight="1" x14ac:dyDescent="0.25">
      <c r="A543" s="231"/>
      <c r="B543" s="151"/>
      <c r="C543" s="171"/>
      <c r="D543" s="35"/>
      <c r="E543" s="218"/>
      <c r="F543" s="235"/>
      <c r="G543" s="101"/>
      <c r="H543" s="85"/>
    </row>
    <row r="544" spans="1:8" s="15" customFormat="1" ht="23.25" customHeight="1" x14ac:dyDescent="0.25">
      <c r="A544" s="171">
        <v>3117670</v>
      </c>
      <c r="B544" s="170">
        <v>7670</v>
      </c>
      <c r="C544" s="171"/>
      <c r="D544" s="125"/>
      <c r="E544" s="241">
        <f t="shared" ref="E544:F544" si="94">E545</f>
        <v>0</v>
      </c>
      <c r="F544" s="241">
        <f t="shared" si="94"/>
        <v>10921000</v>
      </c>
      <c r="G544" s="242">
        <f>G545</f>
        <v>3158722.54</v>
      </c>
      <c r="H544" s="85">
        <f t="shared" si="89"/>
        <v>28.923381924732166</v>
      </c>
    </row>
    <row r="545" spans="1:8" s="14" customFormat="1" ht="22.5" customHeight="1" x14ac:dyDescent="0.25">
      <c r="A545" s="231"/>
      <c r="B545" s="151"/>
      <c r="C545" s="171"/>
      <c r="D545" s="36" t="s">
        <v>290</v>
      </c>
      <c r="E545" s="243">
        <f>SUM(E546:E552)</f>
        <v>0</v>
      </c>
      <c r="F545" s="243">
        <f>F546+F549</f>
        <v>10921000</v>
      </c>
      <c r="G545" s="209">
        <f>G546+G549</f>
        <v>3158722.54</v>
      </c>
      <c r="H545" s="85">
        <f t="shared" si="89"/>
        <v>28.923381924732166</v>
      </c>
    </row>
    <row r="546" spans="1:8" s="3" customFormat="1" ht="28.5" customHeight="1" x14ac:dyDescent="0.25">
      <c r="A546" s="231"/>
      <c r="B546" s="164"/>
      <c r="C546" s="171"/>
      <c r="D546" s="244" t="s">
        <v>202</v>
      </c>
      <c r="E546" s="229"/>
      <c r="F546" s="235">
        <f>700000+8400000</f>
        <v>9100000</v>
      </c>
      <c r="G546" s="34">
        <f>2147806.54</f>
        <v>2147806.54</v>
      </c>
      <c r="H546" s="85">
        <f t="shared" si="89"/>
        <v>23.602269670329669</v>
      </c>
    </row>
    <row r="547" spans="1:8" s="6" customFormat="1" ht="25.5" customHeight="1" x14ac:dyDescent="0.25">
      <c r="A547" s="154"/>
      <c r="B547" s="189"/>
      <c r="C547" s="172"/>
      <c r="D547" s="245" t="s">
        <v>203</v>
      </c>
      <c r="E547" s="229"/>
      <c r="F547" s="235">
        <f>400000-400000</f>
        <v>0</v>
      </c>
      <c r="G547" s="34"/>
      <c r="H547" s="85"/>
    </row>
    <row r="548" spans="1:8" s="6" customFormat="1" ht="38.25" customHeight="1" x14ac:dyDescent="0.25">
      <c r="A548" s="154"/>
      <c r="B548" s="189"/>
      <c r="C548" s="172"/>
      <c r="D548" s="245" t="s">
        <v>500</v>
      </c>
      <c r="E548" s="229"/>
      <c r="F548" s="235">
        <f>299255</f>
        <v>299255</v>
      </c>
      <c r="G548" s="34"/>
      <c r="H548" s="85">
        <f t="shared" si="89"/>
        <v>0</v>
      </c>
    </row>
    <row r="549" spans="1:8" s="6" customFormat="1" ht="25.5" customHeight="1" x14ac:dyDescent="0.25">
      <c r="A549" s="154"/>
      <c r="B549" s="189"/>
      <c r="C549" s="172"/>
      <c r="D549" s="246" t="s">
        <v>190</v>
      </c>
      <c r="E549" s="229"/>
      <c r="F549" s="235">
        <f>571000+1250000</f>
        <v>1821000</v>
      </c>
      <c r="G549" s="34">
        <f>571000+439916</f>
        <v>1010916</v>
      </c>
      <c r="H549" s="85">
        <f t="shared" si="89"/>
        <v>55.514332784184518</v>
      </c>
    </row>
    <row r="550" spans="1:8" s="6" customFormat="1" ht="25.5" customHeight="1" x14ac:dyDescent="0.25">
      <c r="A550" s="154"/>
      <c r="B550" s="189"/>
      <c r="C550" s="172"/>
      <c r="D550" s="35"/>
      <c r="E550" s="229"/>
      <c r="F550" s="235"/>
      <c r="G550" s="34"/>
      <c r="H550" s="85"/>
    </row>
    <row r="551" spans="1:8" s="6" customFormat="1" ht="25.5" hidden="1" customHeight="1" x14ac:dyDescent="0.25">
      <c r="A551" s="154"/>
      <c r="B551" s="189"/>
      <c r="C551" s="172"/>
      <c r="D551" s="35"/>
      <c r="E551" s="235"/>
      <c r="F551" s="235"/>
      <c r="G551" s="101"/>
      <c r="H551" s="85" t="e">
        <f t="shared" si="89"/>
        <v>#DIV/0!</v>
      </c>
    </row>
    <row r="552" spans="1:8" s="6" customFormat="1" ht="25.5" hidden="1" customHeight="1" x14ac:dyDescent="0.25">
      <c r="A552" s="154"/>
      <c r="B552" s="189"/>
      <c r="C552" s="172"/>
      <c r="D552" s="245"/>
      <c r="E552" s="235"/>
      <c r="F552" s="235"/>
      <c r="G552" s="101"/>
      <c r="H552" s="85" t="e">
        <f t="shared" si="89"/>
        <v>#DIV/0!</v>
      </c>
    </row>
    <row r="553" spans="1:8" s="6" customFormat="1" ht="25.5" hidden="1" customHeight="1" x14ac:dyDescent="0.25">
      <c r="A553" s="154"/>
      <c r="B553" s="189"/>
      <c r="C553" s="172"/>
      <c r="D553" s="106"/>
      <c r="E553" s="235"/>
      <c r="F553" s="235"/>
      <c r="G553" s="101"/>
      <c r="H553" s="85" t="e">
        <f t="shared" si="89"/>
        <v>#DIV/0!</v>
      </c>
    </row>
    <row r="554" spans="1:8" s="6" customFormat="1" ht="25.5" customHeight="1" x14ac:dyDescent="0.25">
      <c r="A554" s="142">
        <v>3118311</v>
      </c>
      <c r="B554" s="142">
        <v>8311</v>
      </c>
      <c r="C554" s="148"/>
      <c r="D554" s="125"/>
      <c r="E554" s="247">
        <f t="shared" ref="E554:G554" si="95">E555</f>
        <v>2000000</v>
      </c>
      <c r="F554" s="61">
        <f t="shared" si="95"/>
        <v>1272000</v>
      </c>
      <c r="G554" s="114">
        <f t="shared" si="95"/>
        <v>726473.54999999993</v>
      </c>
      <c r="H554" s="85">
        <f t="shared" si="89"/>
        <v>57.112700471698105</v>
      </c>
    </row>
    <row r="555" spans="1:8" s="6" customFormat="1" ht="23.25" customHeight="1" x14ac:dyDescent="0.25">
      <c r="A555" s="154"/>
      <c r="B555" s="143"/>
      <c r="C555" s="148"/>
      <c r="D555" s="36" t="s">
        <v>266</v>
      </c>
      <c r="E555" s="157">
        <f t="shared" ref="E555:G555" si="96">SUM(E556:E560)</f>
        <v>2000000</v>
      </c>
      <c r="F555" s="119">
        <f t="shared" si="96"/>
        <v>1272000</v>
      </c>
      <c r="G555" s="157">
        <f t="shared" si="96"/>
        <v>726473.54999999993</v>
      </c>
      <c r="H555" s="85">
        <f t="shared" si="89"/>
        <v>57.112700471698105</v>
      </c>
    </row>
    <row r="556" spans="1:8" s="6" customFormat="1" ht="36.75" customHeight="1" x14ac:dyDescent="0.25">
      <c r="A556" s="154"/>
      <c r="B556" s="143"/>
      <c r="C556" s="148"/>
      <c r="D556" s="35" t="s">
        <v>133</v>
      </c>
      <c r="E556" s="218">
        <v>500000</v>
      </c>
      <c r="F556" s="355">
        <f>500000-500000</f>
        <v>0</v>
      </c>
      <c r="G556" s="34"/>
      <c r="H556" s="85"/>
    </row>
    <row r="557" spans="1:8" s="6" customFormat="1" ht="36.75" customHeight="1" x14ac:dyDescent="0.25">
      <c r="A557" s="154"/>
      <c r="B557" s="143"/>
      <c r="C557" s="148"/>
      <c r="D557" s="35" t="s">
        <v>134</v>
      </c>
      <c r="E557" s="218">
        <v>500000</v>
      </c>
      <c r="F557" s="355">
        <f>500000-500000</f>
        <v>0</v>
      </c>
      <c r="G557" s="34"/>
      <c r="H557" s="85"/>
    </row>
    <row r="558" spans="1:8" s="6" customFormat="1" ht="36.75" customHeight="1" x14ac:dyDescent="0.25">
      <c r="A558" s="154"/>
      <c r="B558" s="143"/>
      <c r="C558" s="148"/>
      <c r="D558" s="35" t="s">
        <v>135</v>
      </c>
      <c r="E558" s="218">
        <v>500000</v>
      </c>
      <c r="F558" s="355">
        <f>500000+201000</f>
        <v>701000</v>
      </c>
      <c r="G558" s="34">
        <f>6342.95+43580.61+4204.21+610414.99+7771.84</f>
        <v>672314.6</v>
      </c>
      <c r="H558" s="85">
        <f t="shared" si="89"/>
        <v>95.907931526390868</v>
      </c>
    </row>
    <row r="559" spans="1:8" s="6" customFormat="1" ht="36.75" customHeight="1" x14ac:dyDescent="0.25">
      <c r="A559" s="154"/>
      <c r="B559" s="143"/>
      <c r="C559" s="148"/>
      <c r="D559" s="35" t="s">
        <v>137</v>
      </c>
      <c r="E559" s="218">
        <v>500000</v>
      </c>
      <c r="F559" s="355">
        <f>500000-201000+272000</f>
        <v>571000</v>
      </c>
      <c r="G559" s="34">
        <f>6705.51+43249.23+4204.21</f>
        <v>54158.950000000004</v>
      </c>
      <c r="H559" s="85">
        <f t="shared" si="89"/>
        <v>9.4849299474605964</v>
      </c>
    </row>
    <row r="560" spans="1:8" s="6" customFormat="1" ht="23.25" customHeight="1" x14ac:dyDescent="0.25">
      <c r="A560" s="154"/>
      <c r="B560" s="143"/>
      <c r="C560" s="148"/>
      <c r="D560" s="125"/>
      <c r="E560" s="122"/>
      <c r="F560" s="359"/>
      <c r="G560" s="34"/>
      <c r="H560" s="85"/>
    </row>
    <row r="561" spans="1:8" s="8" customFormat="1" ht="28.5" customHeight="1" x14ac:dyDescent="0.25">
      <c r="A561" s="248">
        <v>3710000</v>
      </c>
      <c r="B561" s="151"/>
      <c r="C561" s="171"/>
      <c r="D561" s="249" t="s">
        <v>236</v>
      </c>
      <c r="E561" s="250">
        <f t="shared" ref="E561:G561" si="97">E562+E564</f>
        <v>45000</v>
      </c>
      <c r="F561" s="250">
        <f>F562+F564</f>
        <v>1000900</v>
      </c>
      <c r="G561" s="251">
        <f t="shared" si="97"/>
        <v>997900</v>
      </c>
      <c r="H561" s="85">
        <f t="shared" si="89"/>
        <v>99.700269757218507</v>
      </c>
    </row>
    <row r="562" spans="1:8" s="15" customFormat="1" ht="33.75" customHeight="1" x14ac:dyDescent="0.25">
      <c r="A562" s="171" t="s">
        <v>291</v>
      </c>
      <c r="B562" s="28" t="s">
        <v>273</v>
      </c>
      <c r="C562" s="171"/>
      <c r="D562" s="36" t="s">
        <v>252</v>
      </c>
      <c r="E562" s="120">
        <f t="shared" ref="E562:G562" si="98">E563</f>
        <v>45000</v>
      </c>
      <c r="F562" s="120">
        <f t="shared" si="98"/>
        <v>57000</v>
      </c>
      <c r="G562" s="33">
        <f t="shared" si="98"/>
        <v>54000</v>
      </c>
      <c r="H562" s="85">
        <f t="shared" si="89"/>
        <v>94.73684210526315</v>
      </c>
    </row>
    <row r="563" spans="1:8" s="13" customFormat="1" ht="33.75" customHeight="1" x14ac:dyDescent="0.25">
      <c r="A563" s="154"/>
      <c r="B563" s="252"/>
      <c r="C563" s="172"/>
      <c r="D563" s="253" t="s">
        <v>452</v>
      </c>
      <c r="E563" s="240">
        <f>45000</f>
        <v>45000</v>
      </c>
      <c r="F563" s="220">
        <f>45000+12000</f>
        <v>57000</v>
      </c>
      <c r="G563" s="34">
        <f>36800+17200</f>
        <v>54000</v>
      </c>
      <c r="H563" s="85">
        <f t="shared" si="89"/>
        <v>94.73684210526315</v>
      </c>
    </row>
    <row r="564" spans="1:8" s="13" customFormat="1" ht="26.25" customHeight="1" x14ac:dyDescent="0.25">
      <c r="A564" s="171"/>
      <c r="B564" s="170">
        <v>9770</v>
      </c>
      <c r="C564" s="172"/>
      <c r="D564" s="36" t="s">
        <v>347</v>
      </c>
      <c r="E564" s="120">
        <f>E565+E567+E568</f>
        <v>0</v>
      </c>
      <c r="F564" s="120">
        <f>F568+F571</f>
        <v>943900</v>
      </c>
      <c r="G564" s="33">
        <f>G565+G566+G568+G571</f>
        <v>943900</v>
      </c>
      <c r="H564" s="85">
        <f t="shared" si="89"/>
        <v>100</v>
      </c>
    </row>
    <row r="565" spans="1:8" s="13" customFormat="1" ht="29.25" hidden="1" customHeight="1" x14ac:dyDescent="0.25">
      <c r="A565" s="154"/>
      <c r="B565" s="170"/>
      <c r="C565" s="172"/>
      <c r="D565" s="35"/>
      <c r="E565" s="126"/>
      <c r="F565" s="220"/>
      <c r="G565" s="34"/>
      <c r="H565" s="85" t="e">
        <f t="shared" si="89"/>
        <v>#DIV/0!</v>
      </c>
    </row>
    <row r="566" spans="1:8" s="13" customFormat="1" ht="29.25" hidden="1" customHeight="1" x14ac:dyDescent="0.25">
      <c r="A566" s="154"/>
      <c r="B566" s="170"/>
      <c r="C566" s="172"/>
      <c r="D566" s="152" t="s">
        <v>230</v>
      </c>
      <c r="E566" s="126"/>
      <c r="F566" s="208">
        <f>F567</f>
        <v>0</v>
      </c>
      <c r="G566" s="209">
        <f>G567</f>
        <v>0</v>
      </c>
      <c r="H566" s="85" t="e">
        <f t="shared" si="89"/>
        <v>#DIV/0!</v>
      </c>
    </row>
    <row r="567" spans="1:8" s="13" customFormat="1" ht="69.75" hidden="1" customHeight="1" x14ac:dyDescent="0.25">
      <c r="A567" s="154"/>
      <c r="B567" s="170"/>
      <c r="C567" s="172"/>
      <c r="D567" s="35"/>
      <c r="E567" s="126"/>
      <c r="F567" s="220">
        <f>200000-200000</f>
        <v>0</v>
      </c>
      <c r="G567" s="34"/>
      <c r="H567" s="85" t="e">
        <f t="shared" si="89"/>
        <v>#DIV/0!</v>
      </c>
    </row>
    <row r="568" spans="1:8" s="13" customFormat="1" ht="29.25" customHeight="1" x14ac:dyDescent="0.25">
      <c r="A568" s="154"/>
      <c r="B568" s="170"/>
      <c r="C568" s="172"/>
      <c r="D568" s="254" t="s">
        <v>126</v>
      </c>
      <c r="E568" s="126"/>
      <c r="F568" s="208">
        <f>SUM(F569:F570)</f>
        <v>475600</v>
      </c>
      <c r="G568" s="209">
        <f>SUM(G569:G570)</f>
        <v>475600</v>
      </c>
      <c r="H568" s="85">
        <f t="shared" si="89"/>
        <v>100</v>
      </c>
    </row>
    <row r="569" spans="1:8" s="13" customFormat="1" ht="86.25" customHeight="1" x14ac:dyDescent="0.25">
      <c r="A569" s="154"/>
      <c r="B569" s="170"/>
      <c r="C569" s="172"/>
      <c r="D569" s="35" t="s">
        <v>127</v>
      </c>
      <c r="E569" s="126"/>
      <c r="F569" s="220">
        <v>475600</v>
      </c>
      <c r="G569" s="34">
        <f>475600</f>
        <v>475600</v>
      </c>
      <c r="H569" s="85">
        <f t="shared" si="89"/>
        <v>100</v>
      </c>
    </row>
    <row r="570" spans="1:8" s="13" customFormat="1" ht="28.5" hidden="1" customHeight="1" x14ac:dyDescent="0.25">
      <c r="A570" s="154"/>
      <c r="B570" s="170"/>
      <c r="C570" s="172"/>
      <c r="D570" s="35"/>
      <c r="E570" s="126"/>
      <c r="F570" s="220"/>
      <c r="G570" s="34"/>
      <c r="H570" s="85" t="e">
        <f t="shared" si="89"/>
        <v>#DIV/0!</v>
      </c>
    </row>
    <row r="571" spans="1:8" s="13" customFormat="1" ht="28.5" customHeight="1" x14ac:dyDescent="0.25">
      <c r="A571" s="154"/>
      <c r="B571" s="170"/>
      <c r="C571" s="172"/>
      <c r="D571" s="254" t="s">
        <v>419</v>
      </c>
      <c r="E571" s="126"/>
      <c r="F571" s="220">
        <f>F572+F573</f>
        <v>468300</v>
      </c>
      <c r="G571" s="222">
        <f>G572+G573</f>
        <v>468300</v>
      </c>
      <c r="H571" s="85">
        <f t="shared" si="89"/>
        <v>100</v>
      </c>
    </row>
    <row r="572" spans="1:8" s="13" customFormat="1" ht="28.5" customHeight="1" x14ac:dyDescent="0.25">
      <c r="A572" s="154"/>
      <c r="B572" s="170"/>
      <c r="C572" s="172"/>
      <c r="D572" s="35" t="s">
        <v>420</v>
      </c>
      <c r="E572" s="126"/>
      <c r="F572" s="220">
        <v>303100</v>
      </c>
      <c r="G572" s="34">
        <f>303100</f>
        <v>303100</v>
      </c>
      <c r="H572" s="85">
        <f t="shared" si="89"/>
        <v>100</v>
      </c>
    </row>
    <row r="573" spans="1:8" s="13" customFormat="1" ht="28.5" customHeight="1" x14ac:dyDescent="0.25">
      <c r="A573" s="154"/>
      <c r="B573" s="170"/>
      <c r="C573" s="172"/>
      <c r="D573" s="35" t="s">
        <v>421</v>
      </c>
      <c r="E573" s="126"/>
      <c r="F573" s="220">
        <v>165200</v>
      </c>
      <c r="G573" s="34">
        <f>165200</f>
        <v>165200</v>
      </c>
      <c r="H573" s="85">
        <f t="shared" si="89"/>
        <v>100</v>
      </c>
    </row>
    <row r="574" spans="1:8" s="13" customFormat="1" ht="18" customHeight="1" x14ac:dyDescent="0.25">
      <c r="A574" s="154"/>
      <c r="B574" s="170"/>
      <c r="C574" s="172"/>
      <c r="D574" s="35"/>
      <c r="E574" s="126"/>
      <c r="F574" s="220"/>
      <c r="G574" s="34"/>
      <c r="H574" s="85"/>
    </row>
    <row r="575" spans="1:8" s="16" customFormat="1" ht="30" customHeight="1" x14ac:dyDescent="0.3">
      <c r="A575" s="255"/>
      <c r="B575" s="40"/>
      <c r="C575" s="410" t="s">
        <v>152</v>
      </c>
      <c r="D575" s="417"/>
      <c r="E575" s="40">
        <f t="shared" ref="E575:G575" si="99">E10+E200+E254+E266+E320+E334+E561</f>
        <v>88045205</v>
      </c>
      <c r="F575" s="41">
        <f t="shared" si="99"/>
        <v>87695092</v>
      </c>
      <c r="G575" s="40">
        <f t="shared" si="99"/>
        <v>59174113.219999999</v>
      </c>
      <c r="H575" s="85">
        <f t="shared" si="89"/>
        <v>67.477109460128048</v>
      </c>
    </row>
    <row r="576" spans="1:8" s="16" customFormat="1" ht="38.25" customHeight="1" x14ac:dyDescent="0.3">
      <c r="A576" s="255"/>
      <c r="B576" s="40"/>
      <c r="C576" s="408" t="s">
        <v>155</v>
      </c>
      <c r="D576" s="409"/>
      <c r="E576" s="40">
        <f>E575+E718</f>
        <v>88045205</v>
      </c>
      <c r="F576" s="41">
        <f>F575+F630+F718</f>
        <v>94356636.450000003</v>
      </c>
      <c r="G576" s="40">
        <f>G575+G630+G718</f>
        <v>65757307.469999999</v>
      </c>
      <c r="H576" s="85">
        <f t="shared" si="89"/>
        <v>69.690177547654613</v>
      </c>
    </row>
    <row r="577" spans="1:8" ht="39.75" customHeight="1" x14ac:dyDescent="0.3">
      <c r="A577" s="256"/>
      <c r="B577" s="257"/>
      <c r="C577" s="410" t="s">
        <v>521</v>
      </c>
      <c r="D577" s="411"/>
      <c r="E577" s="168">
        <f>E576+E589+E609+E842+E1088</f>
        <v>88424305</v>
      </c>
      <c r="F577" s="167">
        <f>F576+F589+F609+F842+F895+F922+F974+F756+F730+F742+F949+F963+F1046+F1064+F1076</f>
        <v>144407203.59999999</v>
      </c>
      <c r="G577" s="168">
        <f>G576+G589+G609+G842+G895+G922+G974+G756+G730+G742+G949+G963+G1046+G1064+G1076</f>
        <v>108952371.64999999</v>
      </c>
      <c r="H577" s="85">
        <f t="shared" si="89"/>
        <v>75.448017089086534</v>
      </c>
    </row>
    <row r="578" spans="1:8" ht="40.5" customHeight="1" x14ac:dyDescent="0.3">
      <c r="A578" s="256"/>
      <c r="B578" s="257"/>
      <c r="C578" s="410" t="s">
        <v>520</v>
      </c>
      <c r="D578" s="411"/>
      <c r="E578" s="277">
        <f>E577+E909+E1088</f>
        <v>88424305</v>
      </c>
      <c r="F578" s="321">
        <f t="shared" ref="F578:G578" si="100">F577+F909+F1088</f>
        <v>145900543.59999999</v>
      </c>
      <c r="G578" s="277">
        <f t="shared" si="100"/>
        <v>110445710.69999999</v>
      </c>
      <c r="H578" s="85">
        <f t="shared" si="89"/>
        <v>75.699314049711319</v>
      </c>
    </row>
    <row r="579" spans="1:8" ht="20.25" x14ac:dyDescent="0.3">
      <c r="A579" s="258"/>
      <c r="B579" s="258"/>
      <c r="C579" s="261"/>
      <c r="D579" s="261"/>
      <c r="E579" s="261"/>
      <c r="F579" s="348"/>
      <c r="G579" s="404"/>
      <c r="H579" s="404"/>
    </row>
    <row r="580" spans="1:8" ht="47.25" hidden="1" customHeight="1" x14ac:dyDescent="0.3">
      <c r="A580" s="72"/>
      <c r="B580" s="407" t="s">
        <v>309</v>
      </c>
      <c r="C580" s="407"/>
      <c r="D580" s="407"/>
      <c r="E580" s="407"/>
      <c r="F580" s="407"/>
      <c r="G580" s="407"/>
      <c r="H580" s="407"/>
    </row>
    <row r="581" spans="1:8" ht="31.5" hidden="1" customHeight="1" x14ac:dyDescent="0.3">
      <c r="A581" s="72"/>
      <c r="B581" s="262"/>
      <c r="C581" s="263"/>
      <c r="D581" s="264"/>
      <c r="E581" s="264"/>
      <c r="F581" s="347"/>
      <c r="G581" s="265"/>
      <c r="H581" s="265"/>
    </row>
    <row r="582" spans="1:8" ht="31.5" hidden="1" customHeight="1" x14ac:dyDescent="0.25">
      <c r="A582" s="406" t="s">
        <v>239</v>
      </c>
      <c r="B582" s="395" t="s">
        <v>240</v>
      </c>
      <c r="C582" s="402" t="s">
        <v>322</v>
      </c>
      <c r="D582" s="391" t="s">
        <v>238</v>
      </c>
      <c r="E582" s="395" t="s">
        <v>356</v>
      </c>
      <c r="F582" s="391" t="s">
        <v>357</v>
      </c>
      <c r="G582" s="394" t="s">
        <v>360</v>
      </c>
      <c r="H582" s="266" t="s">
        <v>254</v>
      </c>
    </row>
    <row r="583" spans="1:8" ht="175.5" hidden="1" customHeight="1" x14ac:dyDescent="0.25">
      <c r="A583" s="398"/>
      <c r="B583" s="398"/>
      <c r="C583" s="403"/>
      <c r="D583" s="391"/>
      <c r="E583" s="396"/>
      <c r="F583" s="391"/>
      <c r="G583" s="394"/>
      <c r="H583" s="267" t="s">
        <v>363</v>
      </c>
    </row>
    <row r="584" spans="1:8" ht="31.5" hidden="1" customHeight="1" x14ac:dyDescent="0.25">
      <c r="A584" s="231" t="s">
        <v>332</v>
      </c>
      <c r="B584" s="268"/>
      <c r="C584" s="268"/>
      <c r="D584" s="107" t="s">
        <v>251</v>
      </c>
      <c r="E584" s="40"/>
      <c r="F584" s="41">
        <f t="shared" ref="F584:H585" si="101">F585</f>
        <v>0</v>
      </c>
      <c r="G584" s="40">
        <f t="shared" si="101"/>
        <v>0</v>
      </c>
      <c r="H584" s="40" t="e">
        <f t="shared" si="101"/>
        <v>#REF!</v>
      </c>
    </row>
    <row r="585" spans="1:8" ht="31.5" hidden="1" customHeight="1" x14ac:dyDescent="0.25">
      <c r="A585" s="57" t="s">
        <v>272</v>
      </c>
      <c r="B585" s="142">
        <v>1020</v>
      </c>
      <c r="C585" s="268"/>
      <c r="D585" s="107"/>
      <c r="E585" s="40"/>
      <c r="F585" s="41">
        <f t="shared" si="101"/>
        <v>0</v>
      </c>
      <c r="G585" s="40">
        <f t="shared" si="101"/>
        <v>0</v>
      </c>
      <c r="H585" s="40" t="e">
        <f t="shared" si="101"/>
        <v>#REF!</v>
      </c>
    </row>
    <row r="586" spans="1:8" ht="31.5" hidden="1" customHeight="1" x14ac:dyDescent="0.25">
      <c r="A586" s="269"/>
      <c r="B586" s="268"/>
      <c r="C586" s="268"/>
      <c r="D586" s="270" t="s">
        <v>252</v>
      </c>
      <c r="E586" s="120"/>
      <c r="F586" s="41">
        <f>SUM(F587:F588)</f>
        <v>0</v>
      </c>
      <c r="G586" s="40">
        <f>SUM(G587:G588)</f>
        <v>0</v>
      </c>
      <c r="H586" s="40" t="e">
        <f>SUM(H587:H588)</f>
        <v>#REF!</v>
      </c>
    </row>
    <row r="587" spans="1:8" ht="31.5" hidden="1" customHeight="1" x14ac:dyDescent="0.25">
      <c r="A587" s="269"/>
      <c r="B587" s="268"/>
      <c r="C587" s="268"/>
      <c r="D587" s="271"/>
      <c r="E587" s="34"/>
      <c r="F587" s="126"/>
      <c r="G587" s="34"/>
      <c r="H587" s="34" t="e">
        <f>#REF!-G587</f>
        <v>#REF!</v>
      </c>
    </row>
    <row r="588" spans="1:8" ht="31.5" hidden="1" customHeight="1" x14ac:dyDescent="0.25">
      <c r="A588" s="269"/>
      <c r="B588" s="268"/>
      <c r="C588" s="268"/>
      <c r="D588" s="271"/>
      <c r="E588" s="34"/>
      <c r="F588" s="126"/>
      <c r="G588" s="34"/>
      <c r="H588" s="34" t="e">
        <f>#REF!-G588</f>
        <v>#REF!</v>
      </c>
    </row>
    <row r="589" spans="1:8" ht="31.5" hidden="1" customHeight="1" x14ac:dyDescent="0.25">
      <c r="A589" s="269"/>
      <c r="B589" s="272"/>
      <c r="C589" s="272"/>
      <c r="D589" s="214" t="s">
        <v>337</v>
      </c>
      <c r="E589" s="168"/>
      <c r="F589" s="167">
        <f>F584</f>
        <v>0</v>
      </c>
      <c r="G589" s="168">
        <f>G584</f>
        <v>0</v>
      </c>
      <c r="H589" s="168" t="e">
        <f>H584</f>
        <v>#REF!</v>
      </c>
    </row>
    <row r="590" spans="1:8" ht="31.5" customHeight="1" x14ac:dyDescent="0.3">
      <c r="A590" s="258"/>
      <c r="B590" s="259"/>
      <c r="C590" s="260"/>
      <c r="D590" s="260"/>
      <c r="E590" s="260"/>
      <c r="F590" s="342"/>
      <c r="G590" s="260"/>
      <c r="H590" s="260"/>
    </row>
    <row r="591" spans="1:8" ht="39.75" customHeight="1" x14ac:dyDescent="0.25">
      <c r="A591" s="72"/>
      <c r="B591" s="434" t="s">
        <v>518</v>
      </c>
      <c r="C591" s="427"/>
      <c r="D591" s="427"/>
      <c r="E591" s="427"/>
      <c r="F591" s="427"/>
      <c r="G591" s="427"/>
      <c r="H591" s="427"/>
    </row>
    <row r="592" spans="1:8" ht="31.5" customHeight="1" x14ac:dyDescent="0.25">
      <c r="A592" s="72"/>
      <c r="B592" s="262"/>
      <c r="C592" s="263"/>
      <c r="D592" s="273"/>
      <c r="E592" s="273"/>
      <c r="F592" s="376"/>
      <c r="G592" s="274"/>
      <c r="H592" s="275"/>
    </row>
    <row r="593" spans="1:8" ht="31.5" customHeight="1" x14ac:dyDescent="0.25">
      <c r="A593" s="406" t="s">
        <v>239</v>
      </c>
      <c r="B593" s="395" t="s">
        <v>240</v>
      </c>
      <c r="C593" s="402" t="s">
        <v>322</v>
      </c>
      <c r="D593" s="391" t="s">
        <v>238</v>
      </c>
      <c r="E593" s="395" t="s">
        <v>305</v>
      </c>
      <c r="F593" s="391" t="s">
        <v>306</v>
      </c>
      <c r="G593" s="394" t="s">
        <v>507</v>
      </c>
      <c r="H593" s="420" t="s">
        <v>508</v>
      </c>
    </row>
    <row r="594" spans="1:8" ht="171" customHeight="1" x14ac:dyDescent="0.25">
      <c r="A594" s="398"/>
      <c r="B594" s="398"/>
      <c r="C594" s="403"/>
      <c r="D594" s="391"/>
      <c r="E594" s="396"/>
      <c r="F594" s="391"/>
      <c r="G594" s="394"/>
      <c r="H594" s="421"/>
    </row>
    <row r="595" spans="1:8" ht="25.5" customHeight="1" x14ac:dyDescent="0.25">
      <c r="A595" s="231" t="s">
        <v>332</v>
      </c>
      <c r="B595" s="268"/>
      <c r="C595" s="268"/>
      <c r="D595" s="107" t="s">
        <v>251</v>
      </c>
      <c r="E595" s="40">
        <f t="shared" ref="E595:G595" si="102">E596+E600+E604</f>
        <v>379100</v>
      </c>
      <c r="F595" s="41">
        <f t="shared" si="102"/>
        <v>427100</v>
      </c>
      <c r="G595" s="40">
        <f t="shared" si="102"/>
        <v>0</v>
      </c>
      <c r="H595" s="42">
        <f>G595/F595*100</f>
        <v>0</v>
      </c>
    </row>
    <row r="596" spans="1:8" ht="21" hidden="1" customHeight="1" x14ac:dyDescent="0.25">
      <c r="A596" s="57" t="s">
        <v>271</v>
      </c>
      <c r="B596" s="142">
        <v>1010</v>
      </c>
      <c r="C596" s="268"/>
      <c r="D596" s="107"/>
      <c r="E596" s="40">
        <f t="shared" ref="E596:G604" si="103">E597</f>
        <v>0</v>
      </c>
      <c r="F596" s="41">
        <f t="shared" si="103"/>
        <v>0</v>
      </c>
      <c r="G596" s="40">
        <f t="shared" si="103"/>
        <v>0</v>
      </c>
      <c r="H596" s="42" t="e">
        <f t="shared" ref="H596:H609" si="104">G596/F596*100</f>
        <v>#DIV/0!</v>
      </c>
    </row>
    <row r="597" spans="1:8" ht="24" hidden="1" customHeight="1" x14ac:dyDescent="0.25">
      <c r="A597" s="269"/>
      <c r="B597" s="268"/>
      <c r="C597" s="268"/>
      <c r="D597" s="270" t="s">
        <v>252</v>
      </c>
      <c r="E597" s="40">
        <f t="shared" si="103"/>
        <v>0</v>
      </c>
      <c r="F597" s="41">
        <f t="shared" si="103"/>
        <v>0</v>
      </c>
      <c r="G597" s="40">
        <f t="shared" si="103"/>
        <v>0</v>
      </c>
      <c r="H597" s="42" t="e">
        <f t="shared" si="104"/>
        <v>#DIV/0!</v>
      </c>
    </row>
    <row r="598" spans="1:8" ht="21.75" hidden="1" customHeight="1" x14ac:dyDescent="0.25">
      <c r="A598" s="269"/>
      <c r="B598" s="268"/>
      <c r="C598" s="268"/>
      <c r="D598" s="30"/>
      <c r="E598" s="34"/>
      <c r="F598" s="126"/>
      <c r="G598" s="34"/>
      <c r="H598" s="42" t="e">
        <f t="shared" si="104"/>
        <v>#DIV/0!</v>
      </c>
    </row>
    <row r="599" spans="1:8" ht="18.75" hidden="1" customHeight="1" x14ac:dyDescent="0.25">
      <c r="A599" s="269"/>
      <c r="B599" s="268"/>
      <c r="C599" s="268"/>
      <c r="D599" s="30"/>
      <c r="E599" s="34"/>
      <c r="F599" s="126"/>
      <c r="G599" s="34"/>
      <c r="H599" s="42" t="e">
        <f t="shared" si="104"/>
        <v>#DIV/0!</v>
      </c>
    </row>
    <row r="600" spans="1:8" ht="24.75" hidden="1" customHeight="1" x14ac:dyDescent="0.25">
      <c r="A600" s="57" t="s">
        <v>272</v>
      </c>
      <c r="B600" s="142">
        <v>1020</v>
      </c>
      <c r="C600" s="268"/>
      <c r="D600" s="107"/>
      <c r="E600" s="40">
        <f t="shared" si="103"/>
        <v>0</v>
      </c>
      <c r="F600" s="41">
        <f t="shared" si="103"/>
        <v>0</v>
      </c>
      <c r="G600" s="40">
        <f t="shared" si="103"/>
        <v>0</v>
      </c>
      <c r="H600" s="42" t="e">
        <f t="shared" si="104"/>
        <v>#DIV/0!</v>
      </c>
    </row>
    <row r="601" spans="1:8" ht="24.75" hidden="1" customHeight="1" x14ac:dyDescent="0.25">
      <c r="A601" s="269"/>
      <c r="B601" s="268"/>
      <c r="C601" s="268"/>
      <c r="D601" s="270" t="s">
        <v>252</v>
      </c>
      <c r="E601" s="40">
        <f t="shared" si="103"/>
        <v>0</v>
      </c>
      <c r="F601" s="41">
        <f t="shared" si="103"/>
        <v>0</v>
      </c>
      <c r="G601" s="40">
        <f t="shared" si="103"/>
        <v>0</v>
      </c>
      <c r="H601" s="42" t="e">
        <f t="shared" si="104"/>
        <v>#DIV/0!</v>
      </c>
    </row>
    <row r="602" spans="1:8" ht="20.25" hidden="1" customHeight="1" x14ac:dyDescent="0.25">
      <c r="A602" s="269"/>
      <c r="B602" s="268"/>
      <c r="C602" s="268"/>
      <c r="D602" s="30"/>
      <c r="E602" s="34"/>
      <c r="F602" s="126"/>
      <c r="G602" s="34"/>
      <c r="H602" s="42" t="e">
        <f t="shared" si="104"/>
        <v>#DIV/0!</v>
      </c>
    </row>
    <row r="603" spans="1:8" ht="20.25" hidden="1" customHeight="1" x14ac:dyDescent="0.25">
      <c r="A603" s="269"/>
      <c r="B603" s="268"/>
      <c r="C603" s="268"/>
      <c r="D603" s="30"/>
      <c r="E603" s="34"/>
      <c r="F603" s="126"/>
      <c r="G603" s="34"/>
      <c r="H603" s="42" t="e">
        <f t="shared" si="104"/>
        <v>#DIV/0!</v>
      </c>
    </row>
    <row r="604" spans="1:8" ht="20.25" customHeight="1" x14ac:dyDescent="0.25">
      <c r="A604" s="57" t="s">
        <v>140</v>
      </c>
      <c r="B604" s="142">
        <v>1200</v>
      </c>
      <c r="C604" s="268"/>
      <c r="D604" s="107"/>
      <c r="E604" s="40">
        <f t="shared" si="103"/>
        <v>379100</v>
      </c>
      <c r="F604" s="41">
        <f t="shared" si="103"/>
        <v>427100</v>
      </c>
      <c r="G604" s="40">
        <f t="shared" si="103"/>
        <v>0</v>
      </c>
      <c r="H604" s="42">
        <f t="shared" si="104"/>
        <v>0</v>
      </c>
    </row>
    <row r="605" spans="1:8" ht="20.25" customHeight="1" x14ac:dyDescent="0.25">
      <c r="A605" s="269"/>
      <c r="B605" s="268"/>
      <c r="C605" s="268"/>
      <c r="D605" s="270" t="s">
        <v>252</v>
      </c>
      <c r="E605" s="40">
        <f t="shared" ref="E605:G605" si="105">SUM(E606:E607)</f>
        <v>379100</v>
      </c>
      <c r="F605" s="41">
        <f t="shared" si="105"/>
        <v>427100</v>
      </c>
      <c r="G605" s="40">
        <f t="shared" si="105"/>
        <v>0</v>
      </c>
      <c r="H605" s="42">
        <f t="shared" si="104"/>
        <v>0</v>
      </c>
    </row>
    <row r="606" spans="1:8" ht="26.25" customHeight="1" x14ac:dyDescent="0.25">
      <c r="A606" s="269"/>
      <c r="B606" s="268"/>
      <c r="C606" s="268"/>
      <c r="D606" s="106" t="s">
        <v>139</v>
      </c>
      <c r="E606" s="34">
        <f>379100</f>
        <v>379100</v>
      </c>
      <c r="F606" s="126">
        <f>379100</f>
        <v>379100</v>
      </c>
      <c r="G606" s="34"/>
      <c r="H606" s="42">
        <f t="shared" si="104"/>
        <v>0</v>
      </c>
    </row>
    <row r="607" spans="1:8" ht="26.25" customHeight="1" x14ac:dyDescent="0.25">
      <c r="A607" s="269"/>
      <c r="B607" s="268"/>
      <c r="C607" s="268"/>
      <c r="D607" s="35" t="s">
        <v>473</v>
      </c>
      <c r="E607" s="34"/>
      <c r="F607" s="126">
        <f>48000</f>
        <v>48000</v>
      </c>
      <c r="G607" s="34"/>
      <c r="H607" s="42">
        <f t="shared" si="104"/>
        <v>0</v>
      </c>
    </row>
    <row r="608" spans="1:8" ht="22.5" customHeight="1" x14ac:dyDescent="0.25">
      <c r="A608" s="269"/>
      <c r="B608" s="268"/>
      <c r="C608" s="268"/>
      <c r="D608" s="35"/>
      <c r="E608" s="34"/>
      <c r="F608" s="126"/>
      <c r="G608" s="34"/>
      <c r="H608" s="42"/>
    </row>
    <row r="609" spans="1:8" ht="31.5" customHeight="1" x14ac:dyDescent="0.25">
      <c r="A609" s="269"/>
      <c r="B609" s="272"/>
      <c r="C609" s="272"/>
      <c r="D609" s="214" t="s">
        <v>337</v>
      </c>
      <c r="E609" s="168">
        <f t="shared" ref="E609:G609" si="106">E595</f>
        <v>379100</v>
      </c>
      <c r="F609" s="167">
        <f t="shared" si="106"/>
        <v>427100</v>
      </c>
      <c r="G609" s="168">
        <f t="shared" si="106"/>
        <v>0</v>
      </c>
      <c r="H609" s="42">
        <f t="shared" si="104"/>
        <v>0</v>
      </c>
    </row>
    <row r="610" spans="1:8" ht="31.5" customHeight="1" x14ac:dyDescent="0.3">
      <c r="A610" s="258"/>
      <c r="B610" s="259"/>
      <c r="C610" s="260"/>
      <c r="D610" s="260"/>
      <c r="E610" s="260"/>
      <c r="F610" s="342"/>
      <c r="G610" s="260"/>
      <c r="H610" s="260"/>
    </row>
    <row r="611" spans="1:8" ht="31.5" customHeight="1" x14ac:dyDescent="0.3">
      <c r="A611" s="258"/>
      <c r="B611" s="413" t="s">
        <v>149</v>
      </c>
      <c r="C611" s="414"/>
      <c r="D611" s="414"/>
      <c r="E611" s="414"/>
      <c r="F611" s="414"/>
      <c r="G611" s="414"/>
      <c r="H611" s="414"/>
    </row>
    <row r="612" spans="1:8" ht="31.5" customHeight="1" x14ac:dyDescent="0.3">
      <c r="A612" s="258"/>
      <c r="B612" s="413" t="s">
        <v>150</v>
      </c>
      <c r="C612" s="414"/>
      <c r="D612" s="414"/>
      <c r="E612" s="414"/>
      <c r="F612" s="414"/>
      <c r="G612" s="414"/>
      <c r="H612" s="414"/>
    </row>
    <row r="613" spans="1:8" ht="22.5" customHeight="1" x14ac:dyDescent="0.3">
      <c r="A613" s="258"/>
      <c r="B613" s="259"/>
      <c r="C613" s="260"/>
      <c r="D613" s="260"/>
      <c r="E613" s="260"/>
      <c r="F613" s="342"/>
      <c r="G613" s="260"/>
      <c r="H613" s="260"/>
    </row>
    <row r="614" spans="1:8" ht="31.5" customHeight="1" x14ac:dyDescent="0.25">
      <c r="A614" s="406" t="s">
        <v>239</v>
      </c>
      <c r="B614" s="395" t="s">
        <v>240</v>
      </c>
      <c r="C614" s="402" t="s">
        <v>322</v>
      </c>
      <c r="D614" s="391" t="s">
        <v>238</v>
      </c>
      <c r="E614" s="395" t="s">
        <v>305</v>
      </c>
      <c r="F614" s="391" t="s">
        <v>306</v>
      </c>
      <c r="G614" s="394" t="s">
        <v>507</v>
      </c>
      <c r="H614" s="420" t="s">
        <v>508</v>
      </c>
    </row>
    <row r="615" spans="1:8" ht="180.75" customHeight="1" x14ac:dyDescent="0.25">
      <c r="A615" s="398"/>
      <c r="B615" s="398"/>
      <c r="C615" s="403"/>
      <c r="D615" s="391"/>
      <c r="E615" s="396"/>
      <c r="F615" s="391"/>
      <c r="G615" s="394"/>
      <c r="H615" s="421"/>
    </row>
    <row r="616" spans="1:8" ht="31.5" customHeight="1" x14ac:dyDescent="0.25">
      <c r="A616" s="57" t="s">
        <v>323</v>
      </c>
      <c r="B616" s="58"/>
      <c r="C616" s="58"/>
      <c r="D616" s="59" t="s">
        <v>237</v>
      </c>
      <c r="E616" s="60">
        <f t="shared" ref="E616" si="107">E620</f>
        <v>0</v>
      </c>
      <c r="F616" s="41">
        <f>F617+F620</f>
        <v>70204.45</v>
      </c>
      <c r="G616" s="40">
        <f t="shared" ref="G616" si="108">G617+G620</f>
        <v>70204.45</v>
      </c>
      <c r="H616" s="42">
        <f>G616/F616*100</f>
        <v>100</v>
      </c>
    </row>
    <row r="617" spans="1:8" ht="26.25" customHeight="1" x14ac:dyDescent="0.25">
      <c r="A617" s="27" t="s">
        <v>258</v>
      </c>
      <c r="B617" s="27" t="s">
        <v>259</v>
      </c>
      <c r="C617" s="184"/>
      <c r="D617" s="36" t="s">
        <v>252</v>
      </c>
      <c r="E617" s="276"/>
      <c r="F617" s="354">
        <f>SUM(F618:F619)</f>
        <v>0</v>
      </c>
      <c r="G617" s="100">
        <f>SUM(G618:G619)</f>
        <v>0</v>
      </c>
      <c r="H617" s="42"/>
    </row>
    <row r="618" spans="1:8" ht="26.25" customHeight="1" x14ac:dyDescent="0.25">
      <c r="A618" s="57"/>
      <c r="B618" s="58"/>
      <c r="C618" s="58"/>
      <c r="D618" s="45" t="s">
        <v>452</v>
      </c>
      <c r="E618" s="60"/>
      <c r="F618" s="126">
        <f>46379-46379</f>
        <v>0</v>
      </c>
      <c r="G618" s="41"/>
      <c r="H618" s="42"/>
    </row>
    <row r="619" spans="1:8" ht="15.75" customHeight="1" x14ac:dyDescent="0.25">
      <c r="A619" s="57"/>
      <c r="B619" s="58"/>
      <c r="C619" s="58"/>
      <c r="D619" s="59"/>
      <c r="E619" s="60"/>
      <c r="F619" s="41"/>
      <c r="G619" s="41"/>
      <c r="H619" s="42"/>
    </row>
    <row r="620" spans="1:8" ht="31.5" customHeight="1" x14ac:dyDescent="0.25">
      <c r="A620" s="27" t="s">
        <v>258</v>
      </c>
      <c r="B620" s="27" t="s">
        <v>259</v>
      </c>
      <c r="C620" s="184"/>
      <c r="D620" s="36" t="s">
        <v>253</v>
      </c>
      <c r="E620" s="276"/>
      <c r="F620" s="354">
        <f>SUM(F621:F623)</f>
        <v>70204.45</v>
      </c>
      <c r="G620" s="100">
        <f t="shared" ref="G620" si="109">SUM(G621:G623)</f>
        <v>70204.45</v>
      </c>
      <c r="H620" s="42">
        <f t="shared" ref="H620:H630" si="110">G620/F620*100</f>
        <v>100</v>
      </c>
    </row>
    <row r="621" spans="1:8" ht="31.5" customHeight="1" x14ac:dyDescent="0.25">
      <c r="A621" s="184"/>
      <c r="B621" s="184"/>
      <c r="C621" s="184"/>
      <c r="D621" s="45" t="s">
        <v>147</v>
      </c>
      <c r="E621" s="126"/>
      <c r="F621" s="355">
        <f>56667-46379</f>
        <v>10288</v>
      </c>
      <c r="G621" s="34">
        <f>5899+4389</f>
        <v>10288</v>
      </c>
      <c r="H621" s="42">
        <f t="shared" si="110"/>
        <v>100</v>
      </c>
    </row>
    <row r="622" spans="1:8" ht="31.5" customHeight="1" x14ac:dyDescent="0.3">
      <c r="A622" s="256"/>
      <c r="B622" s="257"/>
      <c r="C622" s="277"/>
      <c r="D622" s="45" t="s">
        <v>151</v>
      </c>
      <c r="E622" s="277"/>
      <c r="F622" s="377">
        <f>59916.45-59916.45+2029.26</f>
        <v>2029.26</v>
      </c>
      <c r="G622" s="212">
        <f>2029.26</f>
        <v>2029.26</v>
      </c>
      <c r="H622" s="42">
        <f t="shared" si="110"/>
        <v>100</v>
      </c>
    </row>
    <row r="623" spans="1:8" ht="31.5" customHeight="1" x14ac:dyDescent="0.3">
      <c r="A623" s="256"/>
      <c r="B623" s="257"/>
      <c r="C623" s="278"/>
      <c r="D623" s="45" t="s">
        <v>368</v>
      </c>
      <c r="E623" s="277"/>
      <c r="F623" s="377">
        <f>59916.45-2029.26</f>
        <v>57887.189999999995</v>
      </c>
      <c r="G623" s="212">
        <f>57800+87.19</f>
        <v>57887.19</v>
      </c>
      <c r="H623" s="42">
        <f t="shared" si="110"/>
        <v>100.00000000000003</v>
      </c>
    </row>
    <row r="624" spans="1:8" ht="23.25" customHeight="1" x14ac:dyDescent="0.3">
      <c r="A624" s="256"/>
      <c r="B624" s="257"/>
      <c r="C624" s="277"/>
      <c r="D624" s="45"/>
      <c r="E624" s="277"/>
      <c r="F624" s="377"/>
      <c r="G624" s="212"/>
      <c r="H624" s="42"/>
    </row>
    <row r="625" spans="1:8" ht="31.5" customHeight="1" x14ac:dyDescent="0.25">
      <c r="A625" s="188" t="s">
        <v>275</v>
      </c>
      <c r="B625" s="189"/>
      <c r="C625" s="171"/>
      <c r="D625" s="190" t="s">
        <v>255</v>
      </c>
      <c r="E625" s="191">
        <f>E626</f>
        <v>0</v>
      </c>
      <c r="F625" s="366">
        <f t="shared" ref="F625" si="111">F626</f>
        <v>46379</v>
      </c>
      <c r="G625" s="191">
        <f t="shared" ref="G625:G626" si="112">G626</f>
        <v>46379</v>
      </c>
      <c r="H625" s="42">
        <f t="shared" si="110"/>
        <v>100</v>
      </c>
    </row>
    <row r="626" spans="1:8" ht="28.5" customHeight="1" x14ac:dyDescent="0.25">
      <c r="A626" s="171" t="s">
        <v>276</v>
      </c>
      <c r="B626" s="28">
        <v>3105</v>
      </c>
      <c r="C626" s="171"/>
      <c r="D626" s="125"/>
      <c r="E626" s="32">
        <f t="shared" ref="E626:G627" si="113">E627</f>
        <v>0</v>
      </c>
      <c r="F626" s="140">
        <f>F627</f>
        <v>46379</v>
      </c>
      <c r="G626" s="32">
        <f t="shared" si="112"/>
        <v>46379</v>
      </c>
      <c r="H626" s="42">
        <f t="shared" si="110"/>
        <v>100</v>
      </c>
    </row>
    <row r="627" spans="1:8" ht="28.5" customHeight="1" x14ac:dyDescent="0.25">
      <c r="A627" s="169"/>
      <c r="B627" s="164"/>
      <c r="C627" s="171"/>
      <c r="D627" s="36" t="s">
        <v>253</v>
      </c>
      <c r="E627" s="120">
        <f t="shared" si="113"/>
        <v>0</v>
      </c>
      <c r="F627" s="120">
        <f t="shared" si="113"/>
        <v>46379</v>
      </c>
      <c r="G627" s="120">
        <f t="shared" si="113"/>
        <v>46379</v>
      </c>
      <c r="H627" s="42">
        <f t="shared" si="110"/>
        <v>100</v>
      </c>
    </row>
    <row r="628" spans="1:8" ht="54" customHeight="1" x14ac:dyDescent="0.25">
      <c r="A628" s="154"/>
      <c r="B628" s="154"/>
      <c r="C628" s="171"/>
      <c r="D628" s="67" t="s">
        <v>440</v>
      </c>
      <c r="E628" s="31"/>
      <c r="F628" s="195">
        <f>46379</f>
        <v>46379</v>
      </c>
      <c r="G628" s="34">
        <f>46379</f>
        <v>46379</v>
      </c>
      <c r="H628" s="42">
        <f t="shared" si="110"/>
        <v>100</v>
      </c>
    </row>
    <row r="629" spans="1:8" ht="24" customHeight="1" x14ac:dyDescent="0.25">
      <c r="A629" s="154"/>
      <c r="B629" s="154"/>
      <c r="C629" s="279"/>
      <c r="D629" s="67"/>
      <c r="E629" s="31"/>
      <c r="F629" s="195"/>
      <c r="G629" s="34"/>
      <c r="H629" s="42"/>
    </row>
    <row r="630" spans="1:8" ht="31.5" customHeight="1" x14ac:dyDescent="0.3">
      <c r="A630" s="256"/>
      <c r="B630" s="257"/>
      <c r="C630" s="389" t="s">
        <v>152</v>
      </c>
      <c r="D630" s="390"/>
      <c r="E630" s="277"/>
      <c r="F630" s="321">
        <f>F616+F625</f>
        <v>116583.45</v>
      </c>
      <c r="G630" s="277">
        <f t="shared" ref="G630" si="114">G616+G625</f>
        <v>116583.45</v>
      </c>
      <c r="H630" s="42">
        <f t="shared" si="110"/>
        <v>100</v>
      </c>
    </row>
    <row r="631" spans="1:8" ht="31.5" customHeight="1" x14ac:dyDescent="0.3">
      <c r="A631" s="258"/>
      <c r="B631" s="259"/>
      <c r="C631" s="260"/>
      <c r="D631" s="260"/>
      <c r="E631" s="260"/>
      <c r="F631" s="342"/>
      <c r="G631" s="260"/>
      <c r="H631" s="260"/>
    </row>
    <row r="632" spans="1:8" ht="31.5" customHeight="1" x14ac:dyDescent="0.3">
      <c r="A632" s="258"/>
      <c r="B632" s="259"/>
      <c r="C632" s="260"/>
      <c r="D632" s="260"/>
      <c r="E632" s="260"/>
      <c r="F632" s="342"/>
      <c r="G632" s="260"/>
      <c r="H632" s="260"/>
    </row>
    <row r="633" spans="1:8" ht="31.5" customHeight="1" x14ac:dyDescent="0.3">
      <c r="A633" s="435" t="s">
        <v>517</v>
      </c>
      <c r="B633" s="436"/>
      <c r="C633" s="436"/>
      <c r="D633" s="436"/>
      <c r="E633" s="436"/>
      <c r="F633" s="436"/>
      <c r="G633" s="436"/>
      <c r="H633" s="436"/>
    </row>
    <row r="634" spans="1:8" ht="18.75" customHeight="1" x14ac:dyDescent="0.3">
      <c r="A634" s="258"/>
      <c r="B634" s="259"/>
      <c r="C634" s="260"/>
      <c r="D634" s="412"/>
      <c r="E634" s="412"/>
      <c r="F634" s="412"/>
      <c r="G634" s="412"/>
      <c r="H634" s="412"/>
    </row>
    <row r="635" spans="1:8" ht="15.75" customHeight="1" x14ac:dyDescent="0.3">
      <c r="A635" s="258"/>
      <c r="B635" s="259"/>
      <c r="C635" s="260"/>
      <c r="D635" s="260"/>
      <c r="E635" s="260"/>
      <c r="F635" s="342"/>
      <c r="G635" s="260"/>
      <c r="H635" s="260"/>
    </row>
    <row r="636" spans="1:8" ht="113.25" customHeight="1" x14ac:dyDescent="0.25">
      <c r="A636" s="406" t="s">
        <v>239</v>
      </c>
      <c r="B636" s="395" t="s">
        <v>240</v>
      </c>
      <c r="C636" s="402" t="s">
        <v>322</v>
      </c>
      <c r="D636" s="391" t="s">
        <v>238</v>
      </c>
      <c r="E636" s="395" t="s">
        <v>305</v>
      </c>
      <c r="F636" s="391" t="s">
        <v>306</v>
      </c>
      <c r="G636" s="394" t="s">
        <v>507</v>
      </c>
      <c r="H636" s="420" t="s">
        <v>508</v>
      </c>
    </row>
    <row r="637" spans="1:8" ht="108" customHeight="1" x14ac:dyDescent="0.25">
      <c r="A637" s="398"/>
      <c r="B637" s="398"/>
      <c r="C637" s="403"/>
      <c r="D637" s="391"/>
      <c r="E637" s="396"/>
      <c r="F637" s="391"/>
      <c r="G637" s="394"/>
      <c r="H637" s="421"/>
    </row>
    <row r="638" spans="1:8" ht="31.5" customHeight="1" x14ac:dyDescent="0.25">
      <c r="A638" s="57" t="s">
        <v>323</v>
      </c>
      <c r="B638" s="58"/>
      <c r="C638" s="58"/>
      <c r="D638" s="59" t="s">
        <v>237</v>
      </c>
      <c r="E638" s="60">
        <f>E639</f>
        <v>0</v>
      </c>
      <c r="F638" s="41">
        <f>F639+F643+F647+F650+F655+F662+F659</f>
        <v>2911794</v>
      </c>
      <c r="G638" s="40">
        <f>G639+G643+G647+G650+G655+G662+G659</f>
        <v>2911794</v>
      </c>
      <c r="H638" s="42">
        <f>G638/F638*100</f>
        <v>100</v>
      </c>
    </row>
    <row r="639" spans="1:8" ht="26.25" customHeight="1" x14ac:dyDescent="0.25">
      <c r="A639" s="27" t="s">
        <v>258</v>
      </c>
      <c r="B639" s="27" t="s">
        <v>259</v>
      </c>
      <c r="C639" s="184"/>
      <c r="D639" s="36" t="s">
        <v>252</v>
      </c>
      <c r="E639" s="276"/>
      <c r="F639" s="354">
        <f>SUM(F640:F641)</f>
        <v>504684</v>
      </c>
      <c r="G639" s="100">
        <f>SUM(G640:G641)</f>
        <v>504684</v>
      </c>
      <c r="H639" s="42">
        <f t="shared" ref="H639:H700" si="115">G639/F639*100</f>
        <v>100</v>
      </c>
    </row>
    <row r="640" spans="1:8" ht="26.25" customHeight="1" x14ac:dyDescent="0.25">
      <c r="A640" s="184"/>
      <c r="B640" s="184"/>
      <c r="C640" s="184"/>
      <c r="D640" s="65" t="s">
        <v>452</v>
      </c>
      <c r="E640" s="126"/>
      <c r="F640" s="355">
        <f>600000-95316</f>
        <v>504684</v>
      </c>
      <c r="G640" s="34">
        <f>195000+52104+207695+49885</f>
        <v>504684</v>
      </c>
      <c r="H640" s="42">
        <f t="shared" si="115"/>
        <v>100</v>
      </c>
    </row>
    <row r="641" spans="1:8" ht="26.25" customHeight="1" x14ac:dyDescent="0.25">
      <c r="A641" s="184"/>
      <c r="B641" s="184"/>
      <c r="C641" s="184"/>
      <c r="D641" s="45" t="s">
        <v>146</v>
      </c>
      <c r="E641" s="126"/>
      <c r="F641" s="355">
        <f>150000-150000</f>
        <v>0</v>
      </c>
      <c r="G641" s="34"/>
      <c r="H641" s="42"/>
    </row>
    <row r="642" spans="1:8" ht="20.25" customHeight="1" x14ac:dyDescent="0.25">
      <c r="A642" s="184"/>
      <c r="B642" s="184"/>
      <c r="C642" s="184"/>
      <c r="D642" s="45"/>
      <c r="E642" s="126"/>
      <c r="F642" s="355"/>
      <c r="G642" s="34"/>
      <c r="H642" s="42"/>
    </row>
    <row r="643" spans="1:8" ht="26.25" customHeight="1" x14ac:dyDescent="0.25">
      <c r="A643" s="27" t="s">
        <v>258</v>
      </c>
      <c r="B643" s="27" t="s">
        <v>259</v>
      </c>
      <c r="C643" s="184"/>
      <c r="D643" s="36" t="s">
        <v>253</v>
      </c>
      <c r="E643" s="276"/>
      <c r="F643" s="354">
        <f>SUM(F644:F646)</f>
        <v>48389</v>
      </c>
      <c r="G643" s="100">
        <f>SUM(G644:G646)</f>
        <v>48389</v>
      </c>
      <c r="H643" s="42">
        <f t="shared" si="115"/>
        <v>100</v>
      </c>
    </row>
    <row r="644" spans="1:8" ht="36" customHeight="1" x14ac:dyDescent="0.25">
      <c r="A644" s="184"/>
      <c r="B644" s="184"/>
      <c r="C644" s="184"/>
      <c r="D644" s="45" t="s">
        <v>147</v>
      </c>
      <c r="E644" s="126"/>
      <c r="F644" s="355">
        <f>760000-713621</f>
        <v>46379</v>
      </c>
      <c r="G644" s="34">
        <f>46379</f>
        <v>46379</v>
      </c>
      <c r="H644" s="42">
        <f t="shared" si="115"/>
        <v>100</v>
      </c>
    </row>
    <row r="645" spans="1:8" ht="36" customHeight="1" x14ac:dyDescent="0.25">
      <c r="A645" s="184"/>
      <c r="B645" s="184"/>
      <c r="C645" s="184"/>
      <c r="D645" s="44" t="s">
        <v>368</v>
      </c>
      <c r="E645" s="126"/>
      <c r="F645" s="355">
        <f>2010</f>
        <v>2010</v>
      </c>
      <c r="G645" s="34">
        <f>2010</f>
        <v>2010</v>
      </c>
      <c r="H645" s="42">
        <f t="shared" si="115"/>
        <v>100</v>
      </c>
    </row>
    <row r="646" spans="1:8" ht="18" customHeight="1" x14ac:dyDescent="0.25">
      <c r="A646" s="102"/>
      <c r="B646" s="102"/>
      <c r="C646" s="102"/>
      <c r="D646" s="52"/>
      <c r="E646" s="44"/>
      <c r="F646" s="126"/>
      <c r="G646" s="168"/>
      <c r="H646" s="42"/>
    </row>
    <row r="647" spans="1:8" ht="30" hidden="1" customHeight="1" x14ac:dyDescent="0.25">
      <c r="A647" s="27" t="s">
        <v>295</v>
      </c>
      <c r="B647" s="41" t="s">
        <v>296</v>
      </c>
      <c r="C647" s="103"/>
      <c r="D647" s="99" t="s">
        <v>253</v>
      </c>
      <c r="E647" s="32">
        <f>SUM(E648:E652)</f>
        <v>0</v>
      </c>
      <c r="F647" s="140">
        <f>SUM(F648)</f>
        <v>0</v>
      </c>
      <c r="G647" s="32">
        <f>SUM(G648)</f>
        <v>0</v>
      </c>
      <c r="H647" s="42" t="e">
        <f t="shared" si="115"/>
        <v>#DIV/0!</v>
      </c>
    </row>
    <row r="648" spans="1:8" ht="51.75" hidden="1" customHeight="1" x14ac:dyDescent="0.25">
      <c r="A648" s="102"/>
      <c r="B648" s="102"/>
      <c r="C648" s="102"/>
      <c r="D648" s="112"/>
      <c r="E648" s="280"/>
      <c r="F648" s="280"/>
      <c r="G648" s="34"/>
      <c r="H648" s="42" t="e">
        <f t="shared" si="115"/>
        <v>#DIV/0!</v>
      </c>
    </row>
    <row r="649" spans="1:8" ht="161.25" hidden="1" customHeight="1" x14ac:dyDescent="0.25">
      <c r="A649" s="102"/>
      <c r="B649" s="102"/>
      <c r="C649" s="102"/>
      <c r="D649" s="112"/>
      <c r="E649" s="280"/>
      <c r="F649" s="280"/>
      <c r="G649" s="34"/>
      <c r="H649" s="42" t="e">
        <f t="shared" si="115"/>
        <v>#DIV/0!</v>
      </c>
    </row>
    <row r="650" spans="1:8" ht="24.75" customHeight="1" x14ac:dyDescent="0.25">
      <c r="A650" s="27" t="s">
        <v>141</v>
      </c>
      <c r="B650" s="142">
        <v>2151</v>
      </c>
      <c r="C650" s="268"/>
      <c r="D650" s="107"/>
      <c r="E650" s="40">
        <f t="shared" ref="E650:G651" si="116">E651</f>
        <v>0</v>
      </c>
      <c r="F650" s="41">
        <f t="shared" si="116"/>
        <v>1246428.8500000001</v>
      </c>
      <c r="G650" s="40">
        <f t="shared" si="116"/>
        <v>1246428.8500000001</v>
      </c>
      <c r="H650" s="42">
        <f t="shared" si="115"/>
        <v>100</v>
      </c>
    </row>
    <row r="651" spans="1:8" ht="23.25" customHeight="1" x14ac:dyDescent="0.25">
      <c r="A651" s="269"/>
      <c r="B651" s="268"/>
      <c r="C651" s="268"/>
      <c r="D651" s="270" t="s">
        <v>253</v>
      </c>
      <c r="E651" s="40">
        <f t="shared" si="116"/>
        <v>0</v>
      </c>
      <c r="F651" s="41">
        <f>F652+F653</f>
        <v>1246428.8500000001</v>
      </c>
      <c r="G651" s="40">
        <f>G652+G653</f>
        <v>1246428.8500000001</v>
      </c>
      <c r="H651" s="42">
        <f t="shared" si="115"/>
        <v>100</v>
      </c>
    </row>
    <row r="652" spans="1:8" ht="82.5" customHeight="1" x14ac:dyDescent="0.25">
      <c r="A652" s="102"/>
      <c r="B652" s="102"/>
      <c r="C652" s="102"/>
      <c r="D652" s="52" t="s">
        <v>142</v>
      </c>
      <c r="E652" s="44"/>
      <c r="F652" s="126">
        <f>1490000-243571.15</f>
        <v>1246428.8500000001</v>
      </c>
      <c r="G652" s="34">
        <f>48761.02+686161+400312+5130.86+95936+1227.17+8900.8</f>
        <v>1246428.8500000001</v>
      </c>
      <c r="H652" s="42">
        <f t="shared" si="115"/>
        <v>100</v>
      </c>
    </row>
    <row r="653" spans="1:8" ht="82.5" customHeight="1" x14ac:dyDescent="0.25">
      <c r="A653" s="136"/>
      <c r="B653" s="102"/>
      <c r="C653" s="102"/>
      <c r="D653" s="52" t="s">
        <v>422</v>
      </c>
      <c r="E653" s="44"/>
      <c r="F653" s="126">
        <f>243571.15-243571.15</f>
        <v>0</v>
      </c>
      <c r="G653" s="34"/>
      <c r="H653" s="42"/>
    </row>
    <row r="654" spans="1:8" ht="18" customHeight="1" x14ac:dyDescent="0.25">
      <c r="A654" s="136"/>
      <c r="B654" s="102"/>
      <c r="C654" s="102"/>
      <c r="D654" s="52"/>
      <c r="E654" s="44"/>
      <c r="F654" s="126"/>
      <c r="G654" s="34"/>
      <c r="H654" s="42"/>
    </row>
    <row r="655" spans="1:8" ht="18" customHeight="1" x14ac:dyDescent="0.25">
      <c r="A655" s="111" t="s">
        <v>260</v>
      </c>
      <c r="B655" s="127">
        <v>7321</v>
      </c>
      <c r="C655" s="128"/>
      <c r="D655" s="36" t="s">
        <v>266</v>
      </c>
      <c r="E655" s="129">
        <f t="shared" ref="E655" si="117">SUM(E656)</f>
        <v>0</v>
      </c>
      <c r="F655" s="356">
        <f>SUM(F656:F657)</f>
        <v>48515</v>
      </c>
      <c r="G655" s="129">
        <f t="shared" ref="G655" si="118">SUM(G656:G657)</f>
        <v>48515</v>
      </c>
      <c r="H655" s="42">
        <f t="shared" si="115"/>
        <v>100</v>
      </c>
    </row>
    <row r="656" spans="1:8" ht="39.75" customHeight="1" x14ac:dyDescent="0.25">
      <c r="A656" s="102"/>
      <c r="B656" s="102"/>
      <c r="C656" s="102"/>
      <c r="D656" s="45" t="s">
        <v>163</v>
      </c>
      <c r="E656" s="44"/>
      <c r="F656" s="126">
        <f>350000-199000-106585</f>
        <v>44415</v>
      </c>
      <c r="G656" s="34">
        <f>44415</f>
        <v>44415</v>
      </c>
      <c r="H656" s="42">
        <f t="shared" si="115"/>
        <v>100</v>
      </c>
    </row>
    <row r="657" spans="1:8" ht="73.5" customHeight="1" x14ac:dyDescent="0.25">
      <c r="A657" s="102"/>
      <c r="B657" s="102"/>
      <c r="C657" s="102"/>
      <c r="D657" s="112" t="s">
        <v>506</v>
      </c>
      <c r="E657" s="44"/>
      <c r="F657" s="126">
        <f>4100</f>
        <v>4100</v>
      </c>
      <c r="G657" s="34">
        <f>4100</f>
        <v>4100</v>
      </c>
      <c r="H657" s="42">
        <f t="shared" si="115"/>
        <v>100</v>
      </c>
    </row>
    <row r="658" spans="1:8" ht="21" customHeight="1" x14ac:dyDescent="0.25">
      <c r="A658" s="102"/>
      <c r="B658" s="102"/>
      <c r="C658" s="102"/>
      <c r="D658" s="45"/>
      <c r="E658" s="44"/>
      <c r="F658" s="126"/>
      <c r="G658" s="34"/>
      <c r="H658" s="42"/>
    </row>
    <row r="659" spans="1:8" ht="21.75" customHeight="1" x14ac:dyDescent="0.25">
      <c r="A659" s="111" t="s">
        <v>487</v>
      </c>
      <c r="B659" s="184" t="s">
        <v>488</v>
      </c>
      <c r="C659" s="102"/>
      <c r="D659" s="281" t="s">
        <v>347</v>
      </c>
      <c r="E659" s="44"/>
      <c r="F659" s="120">
        <f>SUM(F660)</f>
        <v>1063777.1499999999</v>
      </c>
      <c r="G659" s="33">
        <f t="shared" ref="G659" si="119">SUM(G660)</f>
        <v>1063777.1499999999</v>
      </c>
      <c r="H659" s="42">
        <f t="shared" si="115"/>
        <v>100</v>
      </c>
    </row>
    <row r="660" spans="1:8" ht="65.25" customHeight="1" x14ac:dyDescent="0.25">
      <c r="A660" s="102"/>
      <c r="B660" s="102"/>
      <c r="C660" s="102"/>
      <c r="D660" s="45" t="s">
        <v>489</v>
      </c>
      <c r="E660" s="44"/>
      <c r="F660" s="126">
        <f>1063777.15</f>
        <v>1063777.1499999999</v>
      </c>
      <c r="G660" s="34">
        <v>1063777.1499999999</v>
      </c>
      <c r="H660" s="42">
        <f t="shared" si="115"/>
        <v>100</v>
      </c>
    </row>
    <row r="661" spans="1:8" ht="18" customHeight="1" x14ac:dyDescent="0.25">
      <c r="A661" s="102"/>
      <c r="B661" s="102"/>
      <c r="C661" s="102"/>
      <c r="D661" s="52"/>
      <c r="E661" s="44"/>
      <c r="F661" s="126"/>
      <c r="G661" s="168"/>
      <c r="H661" s="42"/>
    </row>
    <row r="662" spans="1:8" ht="18" hidden="1" customHeight="1" x14ac:dyDescent="0.25">
      <c r="A662" s="27" t="s">
        <v>263</v>
      </c>
      <c r="B662" s="28">
        <v>7350</v>
      </c>
      <c r="C662" s="143"/>
      <c r="D662" s="36" t="s">
        <v>268</v>
      </c>
      <c r="E662" s="129">
        <f t="shared" ref="E662:G662" si="120">SUM(E663:E664)</f>
        <v>0</v>
      </c>
      <c r="F662" s="356">
        <f t="shared" si="120"/>
        <v>0</v>
      </c>
      <c r="G662" s="129">
        <f t="shared" si="120"/>
        <v>0</v>
      </c>
      <c r="H662" s="42" t="e">
        <f t="shared" si="115"/>
        <v>#DIV/0!</v>
      </c>
    </row>
    <row r="663" spans="1:8" ht="112.5" hidden="1" customHeight="1" x14ac:dyDescent="0.25">
      <c r="A663" s="102"/>
      <c r="B663" s="102"/>
      <c r="C663" s="102"/>
      <c r="D663" s="282"/>
      <c r="E663" s="280"/>
      <c r="F663" s="280"/>
      <c r="G663" s="42"/>
      <c r="H663" s="42" t="e">
        <f t="shared" si="115"/>
        <v>#DIV/0!</v>
      </c>
    </row>
    <row r="664" spans="1:8" ht="95.25" hidden="1" customHeight="1" x14ac:dyDescent="0.25">
      <c r="A664" s="102"/>
      <c r="B664" s="102"/>
      <c r="C664" s="102"/>
      <c r="D664" s="282"/>
      <c r="E664" s="280"/>
      <c r="F664" s="280"/>
      <c r="G664" s="34"/>
      <c r="H664" s="42" t="e">
        <f t="shared" si="115"/>
        <v>#DIV/0!</v>
      </c>
    </row>
    <row r="665" spans="1:8" ht="21" hidden="1" customHeight="1" x14ac:dyDescent="0.25">
      <c r="A665" s="102"/>
      <c r="B665" s="102"/>
      <c r="C665" s="102"/>
      <c r="D665" s="282"/>
      <c r="E665" s="280"/>
      <c r="F665" s="280"/>
      <c r="G665" s="168"/>
      <c r="H665" s="42" t="e">
        <f t="shared" si="115"/>
        <v>#DIV/0!</v>
      </c>
    </row>
    <row r="666" spans="1:8" ht="18" customHeight="1" x14ac:dyDescent="0.25">
      <c r="A666" s="163" t="s">
        <v>269</v>
      </c>
      <c r="B666" s="164"/>
      <c r="C666" s="165"/>
      <c r="D666" s="166" t="s">
        <v>251</v>
      </c>
      <c r="E666" s="167">
        <f t="shared" ref="E666:G666" si="121">E667+E670</f>
        <v>0</v>
      </c>
      <c r="F666" s="167">
        <f t="shared" si="121"/>
        <v>490000</v>
      </c>
      <c r="G666" s="168">
        <f t="shared" si="121"/>
        <v>490000</v>
      </c>
      <c r="H666" s="42">
        <f t="shared" si="115"/>
        <v>100</v>
      </c>
    </row>
    <row r="667" spans="1:8" ht="18" hidden="1" customHeight="1" x14ac:dyDescent="0.25">
      <c r="A667" s="169" t="s">
        <v>271</v>
      </c>
      <c r="B667" s="169" t="s">
        <v>274</v>
      </c>
      <c r="C667" s="172"/>
      <c r="D667" s="99" t="s">
        <v>253</v>
      </c>
      <c r="E667" s="175">
        <f>E668+E670</f>
        <v>0</v>
      </c>
      <c r="F667" s="362">
        <f>F668</f>
        <v>0</v>
      </c>
      <c r="G667" s="175">
        <f>G668</f>
        <v>0</v>
      </c>
      <c r="H667" s="42" t="e">
        <f t="shared" si="115"/>
        <v>#DIV/0!</v>
      </c>
    </row>
    <row r="668" spans="1:8" ht="36" hidden="1" customHeight="1" x14ac:dyDescent="0.25">
      <c r="A668" s="102"/>
      <c r="B668" s="102"/>
      <c r="C668" s="102"/>
      <c r="D668" s="48"/>
      <c r="E668" s="44"/>
      <c r="F668" s="126"/>
      <c r="G668" s="34"/>
      <c r="H668" s="42" t="e">
        <f t="shared" si="115"/>
        <v>#DIV/0!</v>
      </c>
    </row>
    <row r="669" spans="1:8" ht="18" hidden="1" customHeight="1" x14ac:dyDescent="0.25">
      <c r="A669" s="102"/>
      <c r="B669" s="102"/>
      <c r="C669" s="102"/>
      <c r="D669" s="52"/>
      <c r="E669" s="44"/>
      <c r="F669" s="126"/>
      <c r="G669" s="168"/>
      <c r="H669" s="42" t="e">
        <f t="shared" si="115"/>
        <v>#DIV/0!</v>
      </c>
    </row>
    <row r="670" spans="1:8" ht="18" customHeight="1" x14ac:dyDescent="0.25">
      <c r="A670" s="192" t="s">
        <v>144</v>
      </c>
      <c r="B670" s="169">
        <v>1021</v>
      </c>
      <c r="C670" s="172"/>
      <c r="D670" s="99" t="s">
        <v>253</v>
      </c>
      <c r="E670" s="175">
        <f>E671+E693</f>
        <v>0</v>
      </c>
      <c r="F670" s="362">
        <f>F671</f>
        <v>490000</v>
      </c>
      <c r="G670" s="175">
        <f>G671</f>
        <v>490000</v>
      </c>
      <c r="H670" s="42">
        <f t="shared" si="115"/>
        <v>100</v>
      </c>
    </row>
    <row r="671" spans="1:8" ht="55.5" customHeight="1" x14ac:dyDescent="0.25">
      <c r="A671" s="102"/>
      <c r="B671" s="102"/>
      <c r="C671" s="102"/>
      <c r="D671" s="106" t="s">
        <v>162</v>
      </c>
      <c r="E671" s="44"/>
      <c r="F671" s="126">
        <f>490000</f>
        <v>490000</v>
      </c>
      <c r="G671" s="34">
        <f>490000</f>
        <v>490000</v>
      </c>
      <c r="H671" s="42">
        <f t="shared" si="115"/>
        <v>100</v>
      </c>
    </row>
    <row r="672" spans="1:8" ht="24.75" customHeight="1" x14ac:dyDescent="0.25">
      <c r="A672" s="102"/>
      <c r="B672" s="102"/>
      <c r="C672" s="102"/>
      <c r="D672" s="106"/>
      <c r="E672" s="44"/>
      <c r="F672" s="126"/>
      <c r="G672" s="34"/>
      <c r="H672" s="42"/>
    </row>
    <row r="673" spans="1:8" ht="24.75" customHeight="1" x14ac:dyDescent="0.25">
      <c r="A673" s="188" t="s">
        <v>275</v>
      </c>
      <c r="B673" s="189"/>
      <c r="C673" s="171"/>
      <c r="D673" s="190" t="s">
        <v>255</v>
      </c>
      <c r="E673" s="191">
        <f>E674</f>
        <v>0</v>
      </c>
      <c r="F673" s="366">
        <f t="shared" ref="F673:G673" si="122">F674</f>
        <v>89206</v>
      </c>
      <c r="G673" s="191">
        <f t="shared" si="122"/>
        <v>89206</v>
      </c>
      <c r="H673" s="42">
        <f t="shared" si="115"/>
        <v>100</v>
      </c>
    </row>
    <row r="674" spans="1:8" ht="27" customHeight="1" x14ac:dyDescent="0.25">
      <c r="A674" s="171" t="s">
        <v>276</v>
      </c>
      <c r="B674" s="28">
        <v>3105</v>
      </c>
      <c r="C674" s="171"/>
      <c r="D674" s="125"/>
      <c r="E674" s="32">
        <f t="shared" ref="E674:G675" si="123">E675</f>
        <v>0</v>
      </c>
      <c r="F674" s="140">
        <f>F675</f>
        <v>89206</v>
      </c>
      <c r="G674" s="32">
        <f t="shared" ref="G674" si="124">G675</f>
        <v>89206</v>
      </c>
      <c r="H674" s="42">
        <f t="shared" si="115"/>
        <v>100</v>
      </c>
    </row>
    <row r="675" spans="1:8" ht="24.75" customHeight="1" x14ac:dyDescent="0.25">
      <c r="A675" s="169"/>
      <c r="B675" s="164"/>
      <c r="C675" s="171"/>
      <c r="D675" s="36" t="s">
        <v>253</v>
      </c>
      <c r="E675" s="120">
        <f t="shared" si="123"/>
        <v>0</v>
      </c>
      <c r="F675" s="120">
        <f t="shared" si="123"/>
        <v>89206</v>
      </c>
      <c r="G675" s="120">
        <f t="shared" si="123"/>
        <v>89206</v>
      </c>
      <c r="H675" s="42">
        <f t="shared" si="115"/>
        <v>100</v>
      </c>
    </row>
    <row r="676" spans="1:8" ht="54.75" customHeight="1" x14ac:dyDescent="0.25">
      <c r="A676" s="154"/>
      <c r="B676" s="154"/>
      <c r="C676" s="171"/>
      <c r="D676" s="67" t="s">
        <v>440</v>
      </c>
      <c r="E676" s="31"/>
      <c r="F676" s="195">
        <f>89206</f>
        <v>89206</v>
      </c>
      <c r="G676" s="34">
        <f>89206</f>
        <v>89206</v>
      </c>
      <c r="H676" s="42">
        <f t="shared" si="115"/>
        <v>100</v>
      </c>
    </row>
    <row r="677" spans="1:8" ht="18" customHeight="1" x14ac:dyDescent="0.25">
      <c r="A677" s="102"/>
      <c r="B677" s="102"/>
      <c r="C677" s="102"/>
      <c r="D677" s="52"/>
      <c r="E677" s="44"/>
      <c r="F677" s="126"/>
      <c r="G677" s="168"/>
      <c r="H677" s="42"/>
    </row>
    <row r="678" spans="1:8" ht="30.75" hidden="1" customHeight="1" x14ac:dyDescent="0.3">
      <c r="A678" s="196" t="s">
        <v>277</v>
      </c>
      <c r="B678" s="196"/>
      <c r="C678" s="196"/>
      <c r="D678" s="190" t="s">
        <v>311</v>
      </c>
      <c r="E678" s="197">
        <f t="shared" ref="E678:G678" si="125">E679+E682+E685</f>
        <v>0</v>
      </c>
      <c r="F678" s="197">
        <f t="shared" si="125"/>
        <v>0</v>
      </c>
      <c r="G678" s="198">
        <f t="shared" si="125"/>
        <v>0</v>
      </c>
      <c r="H678" s="42" t="e">
        <f t="shared" si="115"/>
        <v>#DIV/0!</v>
      </c>
    </row>
    <row r="679" spans="1:8" ht="18" hidden="1" customHeight="1" x14ac:dyDescent="0.25">
      <c r="A679" s="171" t="s">
        <v>282</v>
      </c>
      <c r="B679" s="28">
        <v>1100</v>
      </c>
      <c r="C679" s="171"/>
      <c r="D679" s="99" t="s">
        <v>252</v>
      </c>
      <c r="E679" s="175">
        <f>E680+E683</f>
        <v>0</v>
      </c>
      <c r="F679" s="362">
        <f>F680</f>
        <v>0</v>
      </c>
      <c r="G679" s="175">
        <f>G680</f>
        <v>0</v>
      </c>
      <c r="H679" s="42" t="e">
        <f t="shared" si="115"/>
        <v>#DIV/0!</v>
      </c>
    </row>
    <row r="680" spans="1:8" ht="18" hidden="1" customHeight="1" x14ac:dyDescent="0.25">
      <c r="A680" s="102"/>
      <c r="B680" s="102"/>
      <c r="C680" s="102"/>
      <c r="D680" s="106"/>
      <c r="E680" s="44"/>
      <c r="F680" s="126"/>
      <c r="G680" s="34"/>
      <c r="H680" s="42" t="e">
        <f t="shared" si="115"/>
        <v>#DIV/0!</v>
      </c>
    </row>
    <row r="681" spans="1:8" ht="18" hidden="1" customHeight="1" x14ac:dyDescent="0.25">
      <c r="A681" s="102"/>
      <c r="B681" s="102"/>
      <c r="C681" s="102"/>
      <c r="D681" s="52"/>
      <c r="E681" s="44"/>
      <c r="F681" s="126"/>
      <c r="G681" s="168"/>
      <c r="H681" s="42" t="e">
        <f t="shared" si="115"/>
        <v>#DIV/0!</v>
      </c>
    </row>
    <row r="682" spans="1:8" ht="18" hidden="1" customHeight="1" x14ac:dyDescent="0.25">
      <c r="A682" s="171">
        <v>1014060</v>
      </c>
      <c r="B682" s="28">
        <v>4060</v>
      </c>
      <c r="C682" s="171"/>
      <c r="D682" s="99" t="s">
        <v>252</v>
      </c>
      <c r="E682" s="175">
        <f>E683+E686</f>
        <v>0</v>
      </c>
      <c r="F682" s="362">
        <f>F683</f>
        <v>0</v>
      </c>
      <c r="G682" s="175">
        <f>G683</f>
        <v>0</v>
      </c>
      <c r="H682" s="42" t="e">
        <f t="shared" si="115"/>
        <v>#DIV/0!</v>
      </c>
    </row>
    <row r="683" spans="1:8" ht="18" hidden="1" customHeight="1" x14ac:dyDescent="0.25">
      <c r="A683" s="102"/>
      <c r="B683" s="102"/>
      <c r="C683" s="102"/>
      <c r="D683" s="106"/>
      <c r="E683" s="44"/>
      <c r="F683" s="126"/>
      <c r="G683" s="34"/>
      <c r="H683" s="42" t="e">
        <f t="shared" si="115"/>
        <v>#DIV/0!</v>
      </c>
    </row>
    <row r="684" spans="1:8" ht="18" hidden="1" customHeight="1" x14ac:dyDescent="0.25">
      <c r="A684" s="102"/>
      <c r="B684" s="102"/>
      <c r="C684" s="102"/>
      <c r="D684" s="52"/>
      <c r="E684" s="44"/>
      <c r="F684" s="126"/>
      <c r="G684" s="168"/>
      <c r="H684" s="42" t="e">
        <f t="shared" si="115"/>
        <v>#DIV/0!</v>
      </c>
    </row>
    <row r="685" spans="1:8" ht="18" hidden="1" customHeight="1" x14ac:dyDescent="0.25">
      <c r="A685" s="171">
        <v>1014082</v>
      </c>
      <c r="B685" s="28">
        <v>4082</v>
      </c>
      <c r="C685" s="171"/>
      <c r="D685" s="99" t="s">
        <v>252</v>
      </c>
      <c r="E685" s="175">
        <f t="shared" ref="E685:G685" si="126">E686+E691</f>
        <v>0</v>
      </c>
      <c r="F685" s="362">
        <f t="shared" si="126"/>
        <v>0</v>
      </c>
      <c r="G685" s="175">
        <f t="shared" si="126"/>
        <v>0</v>
      </c>
      <c r="H685" s="42" t="e">
        <f t="shared" si="115"/>
        <v>#DIV/0!</v>
      </c>
    </row>
    <row r="686" spans="1:8" ht="18" hidden="1" customHeight="1" x14ac:dyDescent="0.25">
      <c r="A686" s="102"/>
      <c r="B686" s="102"/>
      <c r="C686" s="102"/>
      <c r="D686" s="106"/>
      <c r="E686" s="44"/>
      <c r="F686" s="126"/>
      <c r="G686" s="34"/>
      <c r="H686" s="42" t="e">
        <f t="shared" si="115"/>
        <v>#DIV/0!</v>
      </c>
    </row>
    <row r="687" spans="1:8" ht="18" hidden="1" customHeight="1" x14ac:dyDescent="0.25">
      <c r="A687" s="102"/>
      <c r="B687" s="102"/>
      <c r="C687" s="102"/>
      <c r="D687" s="52"/>
      <c r="E687" s="44"/>
      <c r="F687" s="126"/>
      <c r="G687" s="168"/>
      <c r="H687" s="42" t="e">
        <f t="shared" si="115"/>
        <v>#DIV/0!</v>
      </c>
    </row>
    <row r="688" spans="1:8" ht="18" customHeight="1" x14ac:dyDescent="0.25">
      <c r="A688" s="196" t="s">
        <v>284</v>
      </c>
      <c r="B688" s="164"/>
      <c r="C688" s="171"/>
      <c r="D688" s="190" t="s">
        <v>256</v>
      </c>
      <c r="E688" s="167">
        <f t="shared" ref="E688:G688" si="127">E689</f>
        <v>0</v>
      </c>
      <c r="F688" s="167">
        <f t="shared" si="127"/>
        <v>1400000</v>
      </c>
      <c r="G688" s="168">
        <f t="shared" si="127"/>
        <v>1321649.8</v>
      </c>
      <c r="H688" s="42">
        <f t="shared" si="115"/>
        <v>94.403557142857139</v>
      </c>
    </row>
    <row r="689" spans="1:8" ht="18" customHeight="1" x14ac:dyDescent="0.25">
      <c r="A689" s="142">
        <v>1115031</v>
      </c>
      <c r="B689" s="127">
        <v>5031</v>
      </c>
      <c r="C689" s="142"/>
      <c r="D689" s="99" t="s">
        <v>253</v>
      </c>
      <c r="E689" s="41">
        <f t="shared" ref="E689:G689" si="128">E690+E691</f>
        <v>0</v>
      </c>
      <c r="F689" s="41">
        <f t="shared" si="128"/>
        <v>1400000</v>
      </c>
      <c r="G689" s="40">
        <f t="shared" si="128"/>
        <v>1321649.8</v>
      </c>
      <c r="H689" s="42">
        <f t="shared" si="115"/>
        <v>94.403557142857139</v>
      </c>
    </row>
    <row r="690" spans="1:8" ht="35.25" customHeight="1" x14ac:dyDescent="0.25">
      <c r="A690" s="102"/>
      <c r="B690" s="102"/>
      <c r="C690" s="102"/>
      <c r="D690" s="210" t="s">
        <v>154</v>
      </c>
      <c r="E690" s="44"/>
      <c r="F690" s="126">
        <f>750000+650000</f>
        <v>1400000</v>
      </c>
      <c r="G690" s="34">
        <f>114327+1193776.8+13546+78350.2-78350.2</f>
        <v>1321649.8</v>
      </c>
      <c r="H690" s="42">
        <f t="shared" si="115"/>
        <v>94.403557142857139</v>
      </c>
    </row>
    <row r="691" spans="1:8" ht="18" customHeight="1" x14ac:dyDescent="0.25">
      <c r="A691" s="102"/>
      <c r="B691" s="102"/>
      <c r="C691" s="102"/>
      <c r="D691" s="52"/>
      <c r="E691" s="44"/>
      <c r="F691" s="126"/>
      <c r="G691" s="168"/>
      <c r="H691" s="42"/>
    </row>
    <row r="692" spans="1:8" ht="31.5" customHeight="1" x14ac:dyDescent="0.3">
      <c r="A692" s="213" t="s">
        <v>285</v>
      </c>
      <c r="B692" s="283"/>
      <c r="C692" s="231"/>
      <c r="D692" s="284" t="s">
        <v>351</v>
      </c>
      <c r="E692" s="242">
        <f>E693</f>
        <v>0</v>
      </c>
      <c r="F692" s="378">
        <f>F693+F711</f>
        <v>1653960.9999999998</v>
      </c>
      <c r="G692" s="242">
        <f>G693+G711</f>
        <v>1653961.0000000002</v>
      </c>
      <c r="H692" s="42">
        <f t="shared" si="115"/>
        <v>100.00000000000003</v>
      </c>
    </row>
    <row r="693" spans="1:8" ht="31.5" customHeight="1" x14ac:dyDescent="0.25">
      <c r="A693" s="171">
        <v>3116030</v>
      </c>
      <c r="B693" s="171">
        <v>6030</v>
      </c>
      <c r="C693" s="171"/>
      <c r="D693" s="99" t="s">
        <v>253</v>
      </c>
      <c r="E693" s="40">
        <f t="shared" ref="E693" si="129">SUM(E694:E710)</f>
        <v>0</v>
      </c>
      <c r="F693" s="41">
        <f>SUM(F694:F710)</f>
        <v>1653960.9999999998</v>
      </c>
      <c r="G693" s="40">
        <f>SUM(G694:G710)</f>
        <v>1653961.0000000002</v>
      </c>
      <c r="H693" s="42">
        <f t="shared" si="115"/>
        <v>100.00000000000003</v>
      </c>
    </row>
    <row r="694" spans="1:8" ht="31.5" customHeight="1" x14ac:dyDescent="0.3">
      <c r="A694" s="256"/>
      <c r="B694" s="257"/>
      <c r="C694" s="277"/>
      <c r="D694" s="44" t="s">
        <v>30</v>
      </c>
      <c r="E694" s="34"/>
      <c r="F694" s="126">
        <f>240000-240000</f>
        <v>0</v>
      </c>
      <c r="G694" s="34"/>
      <c r="H694" s="42"/>
    </row>
    <row r="695" spans="1:8" ht="31.5" customHeight="1" x14ac:dyDescent="0.3">
      <c r="A695" s="256"/>
      <c r="B695" s="257"/>
      <c r="C695" s="277"/>
      <c r="D695" s="44" t="s">
        <v>200</v>
      </c>
      <c r="E695" s="34"/>
      <c r="F695" s="126">
        <f>288000-5906.82</f>
        <v>282093.18</v>
      </c>
      <c r="G695" s="34">
        <f>278478.84+3614.34</f>
        <v>282093.18000000005</v>
      </c>
      <c r="H695" s="42">
        <f t="shared" si="115"/>
        <v>100.00000000000003</v>
      </c>
    </row>
    <row r="696" spans="1:8" ht="31.5" customHeight="1" x14ac:dyDescent="0.3">
      <c r="A696" s="256"/>
      <c r="B696" s="257"/>
      <c r="C696" s="277"/>
      <c r="D696" s="44" t="s">
        <v>165</v>
      </c>
      <c r="E696" s="34"/>
      <c r="F696" s="126">
        <f>700000-4777</f>
        <v>695223</v>
      </c>
      <c r="G696" s="34">
        <f>4263+3994+252812+3513+424701+5940</f>
        <v>695223</v>
      </c>
      <c r="H696" s="42">
        <f t="shared" si="115"/>
        <v>100</v>
      </c>
    </row>
    <row r="697" spans="1:8" ht="31.5" customHeight="1" x14ac:dyDescent="0.3">
      <c r="A697" s="256"/>
      <c r="B697" s="257"/>
      <c r="C697" s="277"/>
      <c r="D697" s="44" t="s">
        <v>157</v>
      </c>
      <c r="E697" s="34"/>
      <c r="F697" s="126">
        <f>100000-100000</f>
        <v>0</v>
      </c>
      <c r="G697" s="34"/>
      <c r="H697" s="42"/>
    </row>
    <row r="698" spans="1:8" ht="31.5" customHeight="1" x14ac:dyDescent="0.3">
      <c r="A698" s="256"/>
      <c r="B698" s="257"/>
      <c r="C698" s="277"/>
      <c r="D698" s="47" t="s">
        <v>172</v>
      </c>
      <c r="E698" s="34"/>
      <c r="F698" s="126">
        <f>100000-48000-52000</f>
        <v>0</v>
      </c>
      <c r="G698" s="34"/>
      <c r="H698" s="42"/>
    </row>
    <row r="699" spans="1:8" ht="31.5" customHeight="1" x14ac:dyDescent="0.3">
      <c r="A699" s="256"/>
      <c r="B699" s="257"/>
      <c r="C699" s="277"/>
      <c r="D699" s="44" t="s">
        <v>158</v>
      </c>
      <c r="E699" s="34"/>
      <c r="F699" s="126">
        <f>100000-100000</f>
        <v>0</v>
      </c>
      <c r="G699" s="34"/>
      <c r="H699" s="42"/>
    </row>
    <row r="700" spans="1:8" ht="31.5" customHeight="1" x14ac:dyDescent="0.3">
      <c r="A700" s="256"/>
      <c r="B700" s="257"/>
      <c r="C700" s="277"/>
      <c r="D700" s="44" t="s">
        <v>159</v>
      </c>
      <c r="E700" s="34"/>
      <c r="F700" s="126">
        <v>110000</v>
      </c>
      <c r="G700" s="34">
        <f>2700+105762+1538</f>
        <v>110000</v>
      </c>
      <c r="H700" s="42">
        <f t="shared" si="115"/>
        <v>100</v>
      </c>
    </row>
    <row r="701" spans="1:8" ht="31.5" customHeight="1" x14ac:dyDescent="0.3">
      <c r="A701" s="256"/>
      <c r="B701" s="257"/>
      <c r="C701" s="277"/>
      <c r="D701" s="44" t="s">
        <v>64</v>
      </c>
      <c r="E701" s="34"/>
      <c r="F701" s="126">
        <f>73177-73177</f>
        <v>0</v>
      </c>
      <c r="G701" s="34"/>
      <c r="H701" s="42"/>
    </row>
    <row r="702" spans="1:8" ht="31.5" customHeight="1" x14ac:dyDescent="0.3">
      <c r="A702" s="256"/>
      <c r="B702" s="257"/>
      <c r="C702" s="277"/>
      <c r="D702" s="44" t="s">
        <v>72</v>
      </c>
      <c r="E702" s="34"/>
      <c r="F702" s="126">
        <f>99000-99000</f>
        <v>0</v>
      </c>
      <c r="G702" s="34"/>
      <c r="H702" s="42"/>
    </row>
    <row r="703" spans="1:8" ht="31.5" customHeight="1" x14ac:dyDescent="0.3">
      <c r="A703" s="256"/>
      <c r="B703" s="257"/>
      <c r="C703" s="277"/>
      <c r="D703" s="44" t="s">
        <v>54</v>
      </c>
      <c r="E703" s="34"/>
      <c r="F703" s="126">
        <f>116000-116000</f>
        <v>0</v>
      </c>
      <c r="G703" s="34"/>
      <c r="H703" s="42"/>
    </row>
    <row r="704" spans="1:8" ht="31.5" customHeight="1" x14ac:dyDescent="0.3">
      <c r="A704" s="256"/>
      <c r="B704" s="257"/>
      <c r="C704" s="277"/>
      <c r="D704" s="44" t="s">
        <v>160</v>
      </c>
      <c r="E704" s="34"/>
      <c r="F704" s="126">
        <f>100000-100000</f>
        <v>0</v>
      </c>
      <c r="G704" s="34"/>
      <c r="H704" s="42"/>
    </row>
    <row r="705" spans="1:8" ht="31.5" customHeight="1" x14ac:dyDescent="0.3">
      <c r="A705" s="256"/>
      <c r="B705" s="257"/>
      <c r="C705" s="277"/>
      <c r="D705" s="44" t="s">
        <v>161</v>
      </c>
      <c r="E705" s="34"/>
      <c r="F705" s="126">
        <v>100000</v>
      </c>
      <c r="G705" s="34">
        <f>12175.58+87348+476.42</f>
        <v>100000</v>
      </c>
      <c r="H705" s="42">
        <f t="shared" ref="H705:H718" si="130">G705/F705*100</f>
        <v>100</v>
      </c>
    </row>
    <row r="706" spans="1:8" ht="29.25" customHeight="1" x14ac:dyDescent="0.25">
      <c r="A706" s="285"/>
      <c r="B706" s="285"/>
      <c r="C706" s="286"/>
      <c r="D706" s="44" t="s">
        <v>92</v>
      </c>
      <c r="E706" s="34"/>
      <c r="F706" s="126">
        <f>450000-450000</f>
        <v>0</v>
      </c>
      <c r="G706" s="34"/>
      <c r="H706" s="42"/>
    </row>
    <row r="707" spans="1:8" ht="33" customHeight="1" x14ac:dyDescent="0.25">
      <c r="A707" s="285"/>
      <c r="B707" s="285"/>
      <c r="C707" s="286"/>
      <c r="D707" s="44" t="s">
        <v>102</v>
      </c>
      <c r="E707" s="34"/>
      <c r="F707" s="126">
        <f>120000-21177-0.13</f>
        <v>98822.87</v>
      </c>
      <c r="G707" s="34">
        <f>98538.82+284.05</f>
        <v>98822.87000000001</v>
      </c>
      <c r="H707" s="42">
        <f t="shared" si="130"/>
        <v>100.00000000000003</v>
      </c>
    </row>
    <row r="708" spans="1:8" ht="33" customHeight="1" x14ac:dyDescent="0.25">
      <c r="A708" s="285"/>
      <c r="B708" s="285"/>
      <c r="C708" s="286"/>
      <c r="D708" s="44" t="s">
        <v>486</v>
      </c>
      <c r="E708" s="34"/>
      <c r="F708" s="126">
        <f>10683.95</f>
        <v>10683.95</v>
      </c>
      <c r="G708" s="34">
        <f>10683.95</f>
        <v>10683.95</v>
      </c>
      <c r="H708" s="42">
        <f t="shared" si="130"/>
        <v>100</v>
      </c>
    </row>
    <row r="709" spans="1:8" ht="33" customHeight="1" x14ac:dyDescent="0.25">
      <c r="A709" s="285"/>
      <c r="B709" s="285"/>
      <c r="C709" s="286"/>
      <c r="D709" s="44" t="s">
        <v>34</v>
      </c>
      <c r="E709" s="34"/>
      <c r="F709" s="126">
        <f>357138</f>
        <v>357138</v>
      </c>
      <c r="G709" s="34">
        <f>4008+2755.2+350374.8</f>
        <v>357138</v>
      </c>
      <c r="H709" s="42">
        <f t="shared" si="130"/>
        <v>100</v>
      </c>
    </row>
    <row r="710" spans="1:8" ht="37.5" customHeight="1" x14ac:dyDescent="0.25">
      <c r="A710" s="285"/>
      <c r="B710" s="285"/>
      <c r="C710" s="286"/>
      <c r="D710" s="44" t="s">
        <v>148</v>
      </c>
      <c r="E710" s="42"/>
      <c r="F710" s="126">
        <f>357138-357138</f>
        <v>0</v>
      </c>
      <c r="G710" s="34"/>
      <c r="H710" s="42"/>
    </row>
    <row r="711" spans="1:8" ht="33.75" hidden="1" customHeight="1" x14ac:dyDescent="0.25">
      <c r="A711" s="28" t="s">
        <v>289</v>
      </c>
      <c r="B711" s="171">
        <v>7370</v>
      </c>
      <c r="C711" s="172"/>
      <c r="D711" s="173"/>
      <c r="E711" s="129">
        <f t="shared" ref="E711:G711" si="131">E712+E719</f>
        <v>0</v>
      </c>
      <c r="F711" s="356">
        <f t="shared" si="131"/>
        <v>0</v>
      </c>
      <c r="G711" s="129">
        <f t="shared" si="131"/>
        <v>0</v>
      </c>
      <c r="H711" s="42"/>
    </row>
    <row r="712" spans="1:8" ht="31.5" hidden="1" customHeight="1" x14ac:dyDescent="0.25">
      <c r="A712" s="28"/>
      <c r="B712" s="171"/>
      <c r="C712" s="172"/>
      <c r="D712" s="36" t="s">
        <v>264</v>
      </c>
      <c r="E712" s="100">
        <f>SUM(E713:E714)</f>
        <v>0</v>
      </c>
      <c r="F712" s="354">
        <f>SUM(F713:F716)</f>
        <v>0</v>
      </c>
      <c r="G712" s="100">
        <f>SUM(G713:G716)</f>
        <v>0</v>
      </c>
      <c r="H712" s="42"/>
    </row>
    <row r="713" spans="1:8" ht="29.25" hidden="1" customHeight="1" x14ac:dyDescent="0.25">
      <c r="A713" s="285"/>
      <c r="B713" s="285"/>
      <c r="C713" s="286"/>
      <c r="D713" s="52"/>
      <c r="E713" s="285"/>
      <c r="F713" s="43"/>
      <c r="G713" s="42"/>
      <c r="H713" s="42"/>
    </row>
    <row r="714" spans="1:8" ht="18.75" hidden="1" x14ac:dyDescent="0.25">
      <c r="A714" s="285"/>
      <c r="B714" s="285"/>
      <c r="C714" s="286"/>
      <c r="D714" s="52"/>
      <c r="E714" s="285"/>
      <c r="F714" s="43"/>
      <c r="G714" s="42"/>
      <c r="H714" s="42"/>
    </row>
    <row r="715" spans="1:8" ht="18.75" hidden="1" x14ac:dyDescent="0.25">
      <c r="A715" s="285"/>
      <c r="B715" s="285"/>
      <c r="C715" s="286"/>
      <c r="D715" s="35"/>
      <c r="E715" s="285"/>
      <c r="F715" s="43"/>
      <c r="G715" s="42"/>
      <c r="H715" s="42"/>
    </row>
    <row r="716" spans="1:8" ht="18.75" hidden="1" x14ac:dyDescent="0.25">
      <c r="A716" s="285"/>
      <c r="B716" s="285"/>
      <c r="C716" s="286"/>
      <c r="D716" s="244"/>
      <c r="E716" s="285"/>
      <c r="F716" s="43"/>
      <c r="G716" s="42"/>
      <c r="H716" s="42"/>
    </row>
    <row r="717" spans="1:8" ht="18.75" x14ac:dyDescent="0.25">
      <c r="A717" s="285"/>
      <c r="B717" s="285"/>
      <c r="C717" s="286"/>
      <c r="D717" s="52"/>
      <c r="E717" s="285"/>
      <c r="F717" s="43"/>
      <c r="G717" s="42"/>
      <c r="H717" s="42"/>
    </row>
    <row r="718" spans="1:8" ht="39" customHeight="1" x14ac:dyDescent="0.25">
      <c r="A718" s="287"/>
      <c r="B718" s="168"/>
      <c r="C718" s="389" t="s">
        <v>152</v>
      </c>
      <c r="D718" s="390"/>
      <c r="E718" s="168">
        <f>E638+E692</f>
        <v>0</v>
      </c>
      <c r="F718" s="167">
        <f>F638+F666+F673+F678+F688+F692</f>
        <v>6544961</v>
      </c>
      <c r="G718" s="168">
        <f>G638+G666+G673+G678+G688+G692</f>
        <v>6466610.7999999998</v>
      </c>
      <c r="H718" s="42">
        <f t="shared" si="130"/>
        <v>98.802892790346647</v>
      </c>
    </row>
    <row r="719" spans="1:8" x14ac:dyDescent="0.25">
      <c r="C719" s="73"/>
      <c r="D719" s="72"/>
      <c r="E719" s="72"/>
      <c r="F719" s="350"/>
      <c r="G719" s="289"/>
      <c r="H719" s="290"/>
    </row>
    <row r="720" spans="1:8" x14ac:dyDescent="0.25">
      <c r="C720" s="73"/>
      <c r="D720" s="72"/>
      <c r="E720" s="72"/>
      <c r="F720" s="350"/>
      <c r="G720" s="289"/>
      <c r="H720" s="290"/>
    </row>
    <row r="721" spans="1:8" hidden="1" x14ac:dyDescent="0.25">
      <c r="A721" s="72"/>
      <c r="B721" s="405" t="s">
        <v>228</v>
      </c>
      <c r="C721" s="405"/>
      <c r="D721" s="405"/>
      <c r="E721" s="405"/>
      <c r="F721" s="405"/>
      <c r="G721" s="405"/>
      <c r="H721" s="405"/>
    </row>
    <row r="722" spans="1:8" ht="118.5" hidden="1" customHeight="1" x14ac:dyDescent="0.25">
      <c r="A722" s="72"/>
      <c r="B722" s="405"/>
      <c r="C722" s="405"/>
      <c r="D722" s="405"/>
      <c r="E722" s="405"/>
      <c r="F722" s="405"/>
      <c r="G722" s="405"/>
      <c r="H722" s="405"/>
    </row>
    <row r="723" spans="1:8" ht="18.75" hidden="1" x14ac:dyDescent="0.3">
      <c r="A723" s="72"/>
      <c r="B723" s="273"/>
      <c r="C723" s="263"/>
      <c r="D723" s="264"/>
      <c r="E723" s="264"/>
      <c r="F723" s="347"/>
      <c r="G723" s="265"/>
      <c r="H723" s="265"/>
    </row>
    <row r="724" spans="1:8" ht="15.75" hidden="1" customHeight="1" x14ac:dyDescent="0.25">
      <c r="A724" s="406" t="s">
        <v>239</v>
      </c>
      <c r="B724" s="395" t="s">
        <v>240</v>
      </c>
      <c r="C724" s="402" t="s">
        <v>322</v>
      </c>
      <c r="D724" s="391" t="s">
        <v>238</v>
      </c>
      <c r="E724" s="395" t="s">
        <v>356</v>
      </c>
      <c r="F724" s="391" t="s">
        <v>357</v>
      </c>
      <c r="G724" s="394" t="s">
        <v>360</v>
      </c>
      <c r="H724" s="266" t="s">
        <v>254</v>
      </c>
    </row>
    <row r="725" spans="1:8" ht="181.5" hidden="1" customHeight="1" x14ac:dyDescent="0.25">
      <c r="A725" s="398"/>
      <c r="B725" s="398"/>
      <c r="C725" s="403"/>
      <c r="D725" s="391"/>
      <c r="E725" s="396"/>
      <c r="F725" s="391"/>
      <c r="G725" s="394"/>
      <c r="H725" s="267" t="s">
        <v>363</v>
      </c>
    </row>
    <row r="726" spans="1:8" ht="20.25" hidden="1" x14ac:dyDescent="0.25">
      <c r="A726" s="188" t="s">
        <v>275</v>
      </c>
      <c r="B726" s="189"/>
      <c r="C726" s="171"/>
      <c r="D726" s="190" t="s">
        <v>255</v>
      </c>
      <c r="E726" s="191">
        <f>E727+E986</f>
        <v>0</v>
      </c>
      <c r="F726" s="366">
        <f>F727+F986</f>
        <v>0</v>
      </c>
      <c r="G726" s="191">
        <f>G727+G986</f>
        <v>0</v>
      </c>
      <c r="H726" s="191" t="e">
        <f>H727+H986</f>
        <v>#REF!</v>
      </c>
    </row>
    <row r="727" spans="1:8" ht="18.75" hidden="1" x14ac:dyDescent="0.25">
      <c r="A727" s="192" t="s">
        <v>299</v>
      </c>
      <c r="B727" s="170">
        <v>3221</v>
      </c>
      <c r="C727" s="171"/>
      <c r="D727" s="166"/>
      <c r="E727" s="41">
        <f t="shared" ref="E727:H727" si="132">E728</f>
        <v>0</v>
      </c>
      <c r="F727" s="41">
        <f t="shared" si="132"/>
        <v>0</v>
      </c>
      <c r="G727" s="40">
        <f t="shared" si="132"/>
        <v>0</v>
      </c>
      <c r="H727" s="40" t="e">
        <f t="shared" si="132"/>
        <v>#REF!</v>
      </c>
    </row>
    <row r="728" spans="1:8" ht="15.75" hidden="1" x14ac:dyDescent="0.25">
      <c r="A728" s="169"/>
      <c r="B728" s="164"/>
      <c r="C728" s="171"/>
      <c r="D728" s="36" t="s">
        <v>232</v>
      </c>
      <c r="E728" s="120">
        <f t="shared" ref="E728:H728" si="133">SUM(E729)</f>
        <v>0</v>
      </c>
      <c r="F728" s="120">
        <f t="shared" si="133"/>
        <v>0</v>
      </c>
      <c r="G728" s="33">
        <f t="shared" si="133"/>
        <v>0</v>
      </c>
      <c r="H728" s="33" t="e">
        <f t="shared" si="133"/>
        <v>#REF!</v>
      </c>
    </row>
    <row r="729" spans="1:8" ht="21" hidden="1" customHeight="1" x14ac:dyDescent="0.25">
      <c r="A729" s="154"/>
      <c r="B729" s="164"/>
      <c r="C729" s="171"/>
      <c r="D729" s="35"/>
      <c r="E729" s="31"/>
      <c r="F729" s="195"/>
      <c r="G729" s="34"/>
      <c r="H729" s="34" t="e">
        <f>#REF!-G729</f>
        <v>#REF!</v>
      </c>
    </row>
    <row r="730" spans="1:8" ht="15.75" hidden="1" customHeight="1" x14ac:dyDescent="0.25">
      <c r="A730" s="269"/>
      <c r="B730" s="272"/>
      <c r="C730" s="272"/>
      <c r="D730" s="214" t="s">
        <v>337</v>
      </c>
      <c r="E730" s="168"/>
      <c r="F730" s="167">
        <f>F726</f>
        <v>0</v>
      </c>
      <c r="G730" s="168">
        <f>G726</f>
        <v>0</v>
      </c>
      <c r="H730" s="168" t="e">
        <f>H726</f>
        <v>#REF!</v>
      </c>
    </row>
    <row r="731" spans="1:8" hidden="1" x14ac:dyDescent="0.25">
      <c r="C731" s="73"/>
      <c r="D731" s="72"/>
      <c r="E731" s="72"/>
      <c r="F731" s="350"/>
      <c r="G731" s="289"/>
      <c r="H731" s="290"/>
    </row>
    <row r="732" spans="1:8" hidden="1" x14ac:dyDescent="0.25">
      <c r="C732" s="73"/>
      <c r="D732" s="72"/>
      <c r="E732" s="72"/>
      <c r="F732" s="350"/>
      <c r="G732" s="289"/>
      <c r="H732" s="290"/>
    </row>
    <row r="733" spans="1:8" ht="58.5" hidden="1" customHeight="1" x14ac:dyDescent="0.3">
      <c r="B733" s="400" t="s">
        <v>359</v>
      </c>
      <c r="C733" s="400"/>
      <c r="D733" s="400"/>
      <c r="E733" s="400"/>
      <c r="F733" s="400"/>
      <c r="G733" s="400"/>
      <c r="H733" s="400"/>
    </row>
    <row r="734" spans="1:8" hidden="1" x14ac:dyDescent="0.25">
      <c r="C734" s="73"/>
      <c r="D734" s="72"/>
      <c r="E734" s="72"/>
      <c r="F734" s="350"/>
      <c r="G734" s="289"/>
      <c r="H734" s="290"/>
    </row>
    <row r="735" spans="1:8" hidden="1" x14ac:dyDescent="0.25">
      <c r="C735" s="73"/>
      <c r="D735" s="72"/>
      <c r="E735" s="72"/>
      <c r="F735" s="350"/>
      <c r="G735" s="289"/>
      <c r="H735" s="290"/>
    </row>
    <row r="736" spans="1:8" ht="15.75" hidden="1" customHeight="1" x14ac:dyDescent="0.25">
      <c r="A736" s="406" t="s">
        <v>239</v>
      </c>
      <c r="B736" s="395" t="s">
        <v>240</v>
      </c>
      <c r="C736" s="402" t="s">
        <v>322</v>
      </c>
      <c r="D736" s="391" t="s">
        <v>238</v>
      </c>
      <c r="E736" s="395" t="s">
        <v>356</v>
      </c>
      <c r="F736" s="391" t="s">
        <v>357</v>
      </c>
      <c r="G736" s="394" t="s">
        <v>360</v>
      </c>
      <c r="H736" s="266" t="s">
        <v>254</v>
      </c>
    </row>
    <row r="737" spans="1:8" ht="174" hidden="1" customHeight="1" x14ac:dyDescent="0.25">
      <c r="A737" s="398"/>
      <c r="B737" s="398"/>
      <c r="C737" s="403"/>
      <c r="D737" s="391"/>
      <c r="E737" s="396"/>
      <c r="F737" s="391"/>
      <c r="G737" s="394"/>
      <c r="H737" s="267" t="s">
        <v>363</v>
      </c>
    </row>
    <row r="738" spans="1:8" ht="20.25" hidden="1" x14ac:dyDescent="0.25">
      <c r="A738" s="188" t="s">
        <v>275</v>
      </c>
      <c r="B738" s="189"/>
      <c r="C738" s="171"/>
      <c r="D738" s="190" t="s">
        <v>255</v>
      </c>
      <c r="E738" s="191">
        <f>E739+E995</f>
        <v>0</v>
      </c>
      <c r="F738" s="366">
        <f>F739+F995</f>
        <v>0</v>
      </c>
      <c r="G738" s="191">
        <f>G739+G995</f>
        <v>0</v>
      </c>
      <c r="H738" s="191" t="e">
        <f>H739+H995</f>
        <v>#REF!</v>
      </c>
    </row>
    <row r="739" spans="1:8" ht="18.75" hidden="1" x14ac:dyDescent="0.25">
      <c r="A739" s="192" t="s">
        <v>358</v>
      </c>
      <c r="B739" s="170">
        <v>6083</v>
      </c>
      <c r="C739" s="171"/>
      <c r="D739" s="166"/>
      <c r="E739" s="41">
        <f t="shared" ref="E739:H739" si="134">E740</f>
        <v>0</v>
      </c>
      <c r="F739" s="41">
        <f t="shared" si="134"/>
        <v>0</v>
      </c>
      <c r="G739" s="40">
        <f t="shared" si="134"/>
        <v>0</v>
      </c>
      <c r="H739" s="40" t="e">
        <f t="shared" si="134"/>
        <v>#REF!</v>
      </c>
    </row>
    <row r="740" spans="1:8" ht="15.75" hidden="1" x14ac:dyDescent="0.25">
      <c r="A740" s="169"/>
      <c r="B740" s="164"/>
      <c r="C740" s="171"/>
      <c r="D740" s="36" t="s">
        <v>232</v>
      </c>
      <c r="E740" s="120">
        <f t="shared" ref="E740:H740" si="135">SUM(E741)</f>
        <v>0</v>
      </c>
      <c r="F740" s="120">
        <f t="shared" si="135"/>
        <v>0</v>
      </c>
      <c r="G740" s="33">
        <f t="shared" si="135"/>
        <v>0</v>
      </c>
      <c r="H740" s="33" t="e">
        <f t="shared" si="135"/>
        <v>#REF!</v>
      </c>
    </row>
    <row r="741" spans="1:8" ht="15.75" hidden="1" x14ac:dyDescent="0.25">
      <c r="A741" s="154"/>
      <c r="B741" s="164"/>
      <c r="C741" s="171"/>
      <c r="D741" s="35"/>
      <c r="E741" s="31"/>
      <c r="F741" s="195"/>
      <c r="G741" s="34"/>
      <c r="H741" s="34" t="e">
        <f>#REF!-G741</f>
        <v>#REF!</v>
      </c>
    </row>
    <row r="742" spans="1:8" ht="21" hidden="1" x14ac:dyDescent="0.25">
      <c r="A742" s="269"/>
      <c r="B742" s="272"/>
      <c r="C742" s="272"/>
      <c r="D742" s="214" t="s">
        <v>337</v>
      </c>
      <c r="E742" s="168"/>
      <c r="F742" s="167">
        <f>F738</f>
        <v>0</v>
      </c>
      <c r="G742" s="168">
        <f>G738</f>
        <v>0</v>
      </c>
      <c r="H742" s="168" t="e">
        <f>H738</f>
        <v>#REF!</v>
      </c>
    </row>
    <row r="743" spans="1:8" hidden="1" x14ac:dyDescent="0.25">
      <c r="C743" s="73"/>
      <c r="D743" s="72"/>
      <c r="E743" s="72"/>
      <c r="F743" s="350"/>
      <c r="G743" s="289"/>
      <c r="H743" s="290"/>
    </row>
    <row r="744" spans="1:8" ht="15" hidden="1" customHeight="1" x14ac:dyDescent="0.25">
      <c r="C744" s="73"/>
      <c r="D744" s="399" t="s">
        <v>346</v>
      </c>
      <c r="E744" s="399"/>
      <c r="F744" s="399"/>
      <c r="G744" s="399"/>
      <c r="H744" s="290"/>
    </row>
    <row r="745" spans="1:8" ht="15" hidden="1" customHeight="1" x14ac:dyDescent="0.25">
      <c r="C745" s="73"/>
      <c r="D745" s="399"/>
      <c r="E745" s="399"/>
      <c r="F745" s="399"/>
      <c r="G745" s="399"/>
      <c r="H745" s="290"/>
    </row>
    <row r="746" spans="1:8" ht="32.25" hidden="1" customHeight="1" x14ac:dyDescent="0.25">
      <c r="C746" s="73"/>
      <c r="D746" s="399"/>
      <c r="E746" s="399"/>
      <c r="F746" s="399"/>
      <c r="G746" s="399"/>
      <c r="H746" s="290"/>
    </row>
    <row r="747" spans="1:8" ht="18.75" hidden="1" x14ac:dyDescent="0.3">
      <c r="C747" s="73"/>
      <c r="D747" s="264"/>
      <c r="E747" s="264"/>
      <c r="F747" s="347"/>
      <c r="G747" s="265"/>
      <c r="H747" s="290"/>
    </row>
    <row r="748" spans="1:8" ht="15.75" hidden="1" customHeight="1" x14ac:dyDescent="0.25">
      <c r="A748" s="406" t="s">
        <v>239</v>
      </c>
      <c r="B748" s="395" t="s">
        <v>240</v>
      </c>
      <c r="C748" s="402" t="s">
        <v>322</v>
      </c>
      <c r="D748" s="391" t="s">
        <v>238</v>
      </c>
      <c r="E748" s="395" t="s">
        <v>356</v>
      </c>
      <c r="F748" s="391" t="s">
        <v>357</v>
      </c>
      <c r="G748" s="394" t="s">
        <v>360</v>
      </c>
      <c r="H748" s="266" t="s">
        <v>254</v>
      </c>
    </row>
    <row r="749" spans="1:8" ht="183" hidden="1" customHeight="1" x14ac:dyDescent="0.25">
      <c r="A749" s="398"/>
      <c r="B749" s="398"/>
      <c r="C749" s="403"/>
      <c r="D749" s="391"/>
      <c r="E749" s="396"/>
      <c r="F749" s="391"/>
      <c r="G749" s="394"/>
      <c r="H749" s="267" t="s">
        <v>363</v>
      </c>
    </row>
    <row r="750" spans="1:8" ht="18.75" hidden="1" x14ac:dyDescent="0.3">
      <c r="A750" s="213" t="s">
        <v>285</v>
      </c>
      <c r="B750" s="283"/>
      <c r="C750" s="231"/>
      <c r="D750" s="107" t="s">
        <v>351</v>
      </c>
      <c r="E750" s="242"/>
      <c r="F750" s="378">
        <f>F751</f>
        <v>0</v>
      </c>
      <c r="G750" s="242">
        <f t="shared" ref="G750:H751" si="136">G751</f>
        <v>0</v>
      </c>
      <c r="H750" s="242" t="e">
        <f t="shared" si="136"/>
        <v>#REF!</v>
      </c>
    </row>
    <row r="751" spans="1:8" ht="18.75" hidden="1" x14ac:dyDescent="0.25">
      <c r="A751" s="171">
        <v>3117363</v>
      </c>
      <c r="B751" s="171">
        <v>7363</v>
      </c>
      <c r="C751" s="171"/>
      <c r="D751" s="173"/>
      <c r="E751" s="40"/>
      <c r="F751" s="41">
        <f>F752</f>
        <v>0</v>
      </c>
      <c r="G751" s="40">
        <f t="shared" si="136"/>
        <v>0</v>
      </c>
      <c r="H751" s="40" t="e">
        <f t="shared" si="136"/>
        <v>#REF!</v>
      </c>
    </row>
    <row r="752" spans="1:8" ht="18.75" hidden="1" x14ac:dyDescent="0.25">
      <c r="A752" s="171"/>
      <c r="B752" s="171"/>
      <c r="C752" s="171"/>
      <c r="D752" s="36" t="s">
        <v>253</v>
      </c>
      <c r="E752" s="40"/>
      <c r="F752" s="120">
        <f>F753+F754</f>
        <v>0</v>
      </c>
      <c r="G752" s="33">
        <f>G753+G754</f>
        <v>0</v>
      </c>
      <c r="H752" s="33" t="e">
        <f>H753+H754</f>
        <v>#REF!</v>
      </c>
    </row>
    <row r="753" spans="1:8" ht="15.75" hidden="1" x14ac:dyDescent="0.25">
      <c r="A753" s="291"/>
      <c r="B753" s="291"/>
      <c r="C753" s="292"/>
      <c r="D753" s="52"/>
      <c r="E753" s="34"/>
      <c r="F753" s="126"/>
      <c r="G753" s="34"/>
      <c r="H753" s="124" t="e">
        <f>#REF!-G753</f>
        <v>#REF!</v>
      </c>
    </row>
    <row r="754" spans="1:8" ht="15.75" hidden="1" x14ac:dyDescent="0.25">
      <c r="A754" s="291"/>
      <c r="B754" s="291"/>
      <c r="C754" s="292"/>
      <c r="D754" s="293"/>
      <c r="E754" s="34"/>
      <c r="F754" s="126"/>
      <c r="G754" s="34"/>
      <c r="H754" s="124" t="e">
        <f>#REF!-G754</f>
        <v>#REF!</v>
      </c>
    </row>
    <row r="755" spans="1:8" ht="15.75" hidden="1" x14ac:dyDescent="0.25">
      <c r="A755" s="291"/>
      <c r="B755" s="291"/>
      <c r="C755" s="292"/>
      <c r="D755" s="44"/>
      <c r="E755" s="34"/>
      <c r="F755" s="126"/>
      <c r="G755" s="34"/>
      <c r="H755" s="124"/>
    </row>
    <row r="756" spans="1:8" ht="21" hidden="1" x14ac:dyDescent="0.25">
      <c r="A756" s="294"/>
      <c r="B756" s="294"/>
      <c r="C756" s="294"/>
      <c r="D756" s="214" t="s">
        <v>337</v>
      </c>
      <c r="E756" s="168"/>
      <c r="F756" s="167">
        <f>F750</f>
        <v>0</v>
      </c>
      <c r="G756" s="168">
        <f>G750</f>
        <v>0</v>
      </c>
      <c r="H756" s="168" t="e">
        <f>H750</f>
        <v>#REF!</v>
      </c>
    </row>
    <row r="757" spans="1:8" x14ac:dyDescent="0.25">
      <c r="C757" s="73"/>
      <c r="D757" s="72"/>
      <c r="E757" s="72"/>
      <c r="F757" s="350"/>
      <c r="G757" s="289"/>
      <c r="H757" s="290"/>
    </row>
    <row r="758" spans="1:8" x14ac:dyDescent="0.25">
      <c r="C758" s="73"/>
      <c r="D758" s="72"/>
      <c r="E758" s="72"/>
      <c r="F758" s="350"/>
      <c r="G758" s="289"/>
      <c r="H758" s="290"/>
    </row>
    <row r="759" spans="1:8" ht="18.75" x14ac:dyDescent="0.3">
      <c r="B759" s="262"/>
      <c r="C759" s="263"/>
      <c r="D759" s="399" t="s">
        <v>349</v>
      </c>
      <c r="E759" s="399"/>
      <c r="F759" s="399"/>
      <c r="G759" s="399"/>
      <c r="H759" s="275"/>
    </row>
    <row r="760" spans="1:8" x14ac:dyDescent="0.25">
      <c r="B760" s="262"/>
      <c r="C760" s="263"/>
      <c r="D760" s="273"/>
      <c r="E760" s="273"/>
      <c r="F760" s="376"/>
      <c r="G760" s="274"/>
      <c r="H760" s="275"/>
    </row>
    <row r="761" spans="1:8" x14ac:dyDescent="0.25">
      <c r="B761" s="262"/>
      <c r="C761" s="263"/>
      <c r="D761" s="273"/>
      <c r="E761" s="273"/>
      <c r="F761" s="376"/>
      <c r="G761" s="274"/>
      <c r="H761" s="275"/>
    </row>
    <row r="762" spans="1:8" ht="90" customHeight="1" x14ac:dyDescent="0.25">
      <c r="A762" s="406" t="s">
        <v>239</v>
      </c>
      <c r="B762" s="395" t="s">
        <v>240</v>
      </c>
      <c r="C762" s="402" t="s">
        <v>322</v>
      </c>
      <c r="D762" s="391" t="s">
        <v>238</v>
      </c>
      <c r="E762" s="395" t="s">
        <v>305</v>
      </c>
      <c r="F762" s="391" t="s">
        <v>306</v>
      </c>
      <c r="G762" s="394" t="s">
        <v>507</v>
      </c>
      <c r="H762" s="420" t="s">
        <v>508</v>
      </c>
    </row>
    <row r="763" spans="1:8" ht="109.5" customHeight="1" x14ac:dyDescent="0.25">
      <c r="A763" s="398"/>
      <c r="B763" s="398"/>
      <c r="C763" s="403"/>
      <c r="D763" s="391"/>
      <c r="E763" s="396"/>
      <c r="F763" s="391"/>
      <c r="G763" s="394"/>
      <c r="H763" s="421"/>
    </row>
    <row r="764" spans="1:8" ht="28.5" customHeight="1" x14ac:dyDescent="0.25">
      <c r="A764" s="57" t="s">
        <v>257</v>
      </c>
      <c r="B764" s="82"/>
      <c r="C764" s="82"/>
      <c r="D764" s="83" t="s">
        <v>237</v>
      </c>
      <c r="E764" s="84"/>
      <c r="F764" s="379">
        <f>F765+F778+F782+F788+F792</f>
        <v>6365316</v>
      </c>
      <c r="G764" s="295">
        <f>G765+G778+G782+G788+G792</f>
        <v>6311597.1600000001</v>
      </c>
      <c r="H764" s="85">
        <f>G764/F764*100</f>
        <v>99.156069549414354</v>
      </c>
    </row>
    <row r="765" spans="1:8" ht="18.75" x14ac:dyDescent="0.25">
      <c r="A765" s="27" t="s">
        <v>258</v>
      </c>
      <c r="B765" s="41" t="s">
        <v>259</v>
      </c>
      <c r="C765" s="86"/>
      <c r="D765" s="36"/>
      <c r="E765" s="88"/>
      <c r="F765" s="352">
        <f>F766+F769</f>
        <v>2888316</v>
      </c>
      <c r="G765" s="88">
        <f>G766+G769</f>
        <v>2850312</v>
      </c>
      <c r="H765" s="85">
        <f t="shared" ref="H765:H829" si="137">G765/F765*100</f>
        <v>98.684215992986907</v>
      </c>
    </row>
    <row r="766" spans="1:8" ht="18.75" x14ac:dyDescent="0.25">
      <c r="A766" s="27"/>
      <c r="B766" s="41"/>
      <c r="C766" s="86"/>
      <c r="D766" s="89" t="s">
        <v>252</v>
      </c>
      <c r="E766" s="88"/>
      <c r="F766" s="380">
        <f>SUM(F767)</f>
        <v>210000</v>
      </c>
      <c r="G766" s="296">
        <f>SUM(G767)</f>
        <v>206000</v>
      </c>
      <c r="H766" s="85">
        <f t="shared" si="137"/>
        <v>98.095238095238088</v>
      </c>
    </row>
    <row r="767" spans="1:8" ht="18.75" x14ac:dyDescent="0.25">
      <c r="A767" s="27"/>
      <c r="B767" s="41"/>
      <c r="C767" s="86"/>
      <c r="D767" s="45" t="s">
        <v>452</v>
      </c>
      <c r="E767" s="88"/>
      <c r="F767" s="381">
        <f>210000</f>
        <v>210000</v>
      </c>
      <c r="G767" s="297">
        <f>206000</f>
        <v>206000</v>
      </c>
      <c r="H767" s="85">
        <f t="shared" si="137"/>
        <v>98.095238095238088</v>
      </c>
    </row>
    <row r="768" spans="1:8" ht="18.75" x14ac:dyDescent="0.25">
      <c r="A768" s="27"/>
      <c r="B768" s="41"/>
      <c r="C768" s="86"/>
      <c r="D768" s="89"/>
      <c r="E768" s="88"/>
      <c r="F768" s="352"/>
      <c r="G768" s="88"/>
      <c r="H768" s="85"/>
    </row>
    <row r="769" spans="1:8" ht="18.75" x14ac:dyDescent="0.25">
      <c r="A769" s="27"/>
      <c r="B769" s="41"/>
      <c r="C769" s="41"/>
      <c r="D769" s="89" t="s">
        <v>253</v>
      </c>
      <c r="E769" s="90"/>
      <c r="F769" s="353">
        <f>SUM(F770:F776)</f>
        <v>2678316</v>
      </c>
      <c r="G769" s="90">
        <f t="shared" ref="G769" si="138">SUM(G770:G776)</f>
        <v>2644312</v>
      </c>
      <c r="H769" s="85">
        <f t="shared" si="137"/>
        <v>98.730396263921065</v>
      </c>
    </row>
    <row r="770" spans="1:8" ht="31.5" customHeight="1" x14ac:dyDescent="0.25">
      <c r="A770" s="27"/>
      <c r="B770" s="61"/>
      <c r="C770" s="61"/>
      <c r="D770" s="65" t="s">
        <v>502</v>
      </c>
      <c r="E770" s="62"/>
      <c r="F770" s="382">
        <f>446000</f>
        <v>446000</v>
      </c>
      <c r="G770" s="63">
        <f>87034.59+358965.41</f>
        <v>446000</v>
      </c>
      <c r="H770" s="85">
        <f t="shared" si="137"/>
        <v>100</v>
      </c>
    </row>
    <row r="771" spans="1:8" ht="31.5" x14ac:dyDescent="0.25">
      <c r="A771" s="298"/>
      <c r="B771" s="122"/>
      <c r="C771" s="122"/>
      <c r="D771" s="35" t="s">
        <v>370</v>
      </c>
      <c r="E771" s="122"/>
      <c r="F771" s="126">
        <f>194316+350000</f>
        <v>544316</v>
      </c>
      <c r="G771" s="34">
        <f>194316+332435</f>
        <v>526751</v>
      </c>
      <c r="H771" s="85">
        <f t="shared" si="137"/>
        <v>96.773014204983866</v>
      </c>
    </row>
    <row r="772" spans="1:8" ht="31.5" customHeight="1" x14ac:dyDescent="0.25">
      <c r="A772" s="298"/>
      <c r="B772" s="122"/>
      <c r="C772" s="122"/>
      <c r="D772" s="65" t="s">
        <v>374</v>
      </c>
      <c r="E772" s="122"/>
      <c r="F772" s="126">
        <f>770000</f>
        <v>770000</v>
      </c>
      <c r="G772" s="34">
        <f>758500</f>
        <v>758500</v>
      </c>
      <c r="H772" s="85">
        <f t="shared" si="137"/>
        <v>98.506493506493513</v>
      </c>
    </row>
    <row r="773" spans="1:8" ht="31.5" x14ac:dyDescent="0.25">
      <c r="A773" s="298"/>
      <c r="B773" s="122"/>
      <c r="C773" s="122"/>
      <c r="D773" s="35" t="s">
        <v>65</v>
      </c>
      <c r="E773" s="122"/>
      <c r="F773" s="126">
        <f>158000-158000</f>
        <v>0</v>
      </c>
      <c r="G773" s="34"/>
      <c r="H773" s="85"/>
    </row>
    <row r="774" spans="1:8" ht="31.5" x14ac:dyDescent="0.25">
      <c r="A774" s="298"/>
      <c r="B774" s="122"/>
      <c r="C774" s="122"/>
      <c r="D774" s="35" t="s">
        <v>206</v>
      </c>
      <c r="E774" s="122"/>
      <c r="F774" s="126">
        <f>158000-158000</f>
        <v>0</v>
      </c>
      <c r="G774" s="34"/>
      <c r="H774" s="85"/>
    </row>
    <row r="775" spans="1:8" ht="31.5" x14ac:dyDescent="0.25">
      <c r="A775" s="298"/>
      <c r="B775" s="122"/>
      <c r="C775" s="122"/>
      <c r="D775" s="35" t="s">
        <v>477</v>
      </c>
      <c r="E775" s="122"/>
      <c r="F775" s="126">
        <f>158000</f>
        <v>158000</v>
      </c>
      <c r="G775" s="34">
        <f>158000</f>
        <v>158000</v>
      </c>
      <c r="H775" s="85">
        <f t="shared" si="137"/>
        <v>100</v>
      </c>
    </row>
    <row r="776" spans="1:8" ht="31.5" x14ac:dyDescent="0.25">
      <c r="A776" s="298"/>
      <c r="B776" s="122"/>
      <c r="C776" s="122"/>
      <c r="D776" s="35" t="s">
        <v>478</v>
      </c>
      <c r="E776" s="122"/>
      <c r="F776" s="126">
        <f>760000</f>
        <v>760000</v>
      </c>
      <c r="G776" s="34">
        <f>404160+612+350289</f>
        <v>755061</v>
      </c>
      <c r="H776" s="85">
        <f t="shared" si="137"/>
        <v>99.350131578947369</v>
      </c>
    </row>
    <row r="777" spans="1:8" ht="18.75" x14ac:dyDescent="0.25">
      <c r="A777" s="298"/>
      <c r="B777" s="122"/>
      <c r="C777" s="122"/>
      <c r="D777" s="35"/>
      <c r="E777" s="122"/>
      <c r="F777" s="126"/>
      <c r="G777" s="34"/>
      <c r="H777" s="85"/>
    </row>
    <row r="778" spans="1:8" ht="18.75" x14ac:dyDescent="0.25">
      <c r="A778" s="27" t="s">
        <v>340</v>
      </c>
      <c r="B778" s="27" t="s">
        <v>164</v>
      </c>
      <c r="C778" s="86"/>
      <c r="D778" s="87"/>
      <c r="E778" s="88"/>
      <c r="F778" s="352">
        <f t="shared" ref="F778:G779" si="139">F779</f>
        <v>240000</v>
      </c>
      <c r="G778" s="88">
        <f t="shared" si="139"/>
        <v>240000</v>
      </c>
      <c r="H778" s="85">
        <f t="shared" si="137"/>
        <v>100</v>
      </c>
    </row>
    <row r="779" spans="1:8" ht="18.75" x14ac:dyDescent="0.25">
      <c r="A779" s="27"/>
      <c r="B779" s="41"/>
      <c r="C779" s="41"/>
      <c r="D779" s="89" t="s">
        <v>253</v>
      </c>
      <c r="E779" s="90"/>
      <c r="F779" s="353">
        <f t="shared" si="139"/>
        <v>240000</v>
      </c>
      <c r="G779" s="90">
        <f t="shared" si="139"/>
        <v>240000</v>
      </c>
      <c r="H779" s="85">
        <f t="shared" si="137"/>
        <v>100</v>
      </c>
    </row>
    <row r="780" spans="1:8" ht="78.75" x14ac:dyDescent="0.25">
      <c r="A780" s="27"/>
      <c r="B780" s="61"/>
      <c r="C780" s="61"/>
      <c r="D780" s="53" t="s">
        <v>479</v>
      </c>
      <c r="E780" s="62"/>
      <c r="F780" s="382">
        <f>240000</f>
        <v>240000</v>
      </c>
      <c r="G780" s="63">
        <f>240000</f>
        <v>240000</v>
      </c>
      <c r="H780" s="85">
        <f t="shared" si="137"/>
        <v>100</v>
      </c>
    </row>
    <row r="781" spans="1:8" ht="18.75" x14ac:dyDescent="0.25">
      <c r="A781" s="298"/>
      <c r="B781" s="122"/>
      <c r="C781" s="122"/>
      <c r="D781" s="35"/>
      <c r="E781" s="122"/>
      <c r="F781" s="126"/>
      <c r="G781" s="34"/>
      <c r="H781" s="85"/>
    </row>
    <row r="782" spans="1:8" ht="33.75" customHeight="1" x14ac:dyDescent="0.25">
      <c r="A782" s="111" t="s">
        <v>260</v>
      </c>
      <c r="B782" s="127">
        <v>7321</v>
      </c>
      <c r="C782" s="128"/>
      <c r="D782" s="36"/>
      <c r="E782" s="129">
        <f t="shared" ref="E782:G782" si="140">SUM(E783)</f>
        <v>0</v>
      </c>
      <c r="F782" s="356">
        <f>SUM(F783)</f>
        <v>2500000</v>
      </c>
      <c r="G782" s="129">
        <f t="shared" si="140"/>
        <v>2500000</v>
      </c>
      <c r="H782" s="85">
        <f t="shared" si="137"/>
        <v>100</v>
      </c>
    </row>
    <row r="783" spans="1:8" ht="21.75" customHeight="1" x14ac:dyDescent="0.25">
      <c r="A783" s="102"/>
      <c r="B783" s="102"/>
      <c r="C783" s="102"/>
      <c r="D783" s="36" t="s">
        <v>266</v>
      </c>
      <c r="E783" s="44"/>
      <c r="F783" s="120">
        <f>SUM(F784:F786)</f>
        <v>2500000</v>
      </c>
      <c r="G783" s="33">
        <f>SUM(G784:G786)</f>
        <v>2500000</v>
      </c>
      <c r="H783" s="85">
        <f t="shared" si="137"/>
        <v>100</v>
      </c>
    </row>
    <row r="784" spans="1:8" ht="50.25" customHeight="1" x14ac:dyDescent="0.25">
      <c r="A784" s="298"/>
      <c r="B784" s="122"/>
      <c r="C784" s="122"/>
      <c r="D784" s="35" t="s">
        <v>480</v>
      </c>
      <c r="E784" s="122"/>
      <c r="F784" s="126">
        <f>1000000</f>
        <v>1000000</v>
      </c>
      <c r="G784" s="34">
        <f>1000000</f>
        <v>1000000</v>
      </c>
      <c r="H784" s="85">
        <f t="shared" si="137"/>
        <v>100</v>
      </c>
    </row>
    <row r="785" spans="1:8" ht="136.5" customHeight="1" x14ac:dyDescent="0.25">
      <c r="A785" s="298"/>
      <c r="B785" s="122"/>
      <c r="C785" s="122"/>
      <c r="D785" s="35" t="s">
        <v>481</v>
      </c>
      <c r="E785" s="122"/>
      <c r="F785" s="126">
        <f>1500000-1500000</f>
        <v>0</v>
      </c>
      <c r="G785" s="34">
        <f>1500000-1500000</f>
        <v>0</v>
      </c>
      <c r="H785" s="85"/>
    </row>
    <row r="786" spans="1:8" ht="120.75" customHeight="1" x14ac:dyDescent="0.25">
      <c r="A786" s="346"/>
      <c r="B786" s="122"/>
      <c r="C786" s="122"/>
      <c r="D786" s="35" t="s">
        <v>522</v>
      </c>
      <c r="E786" s="122"/>
      <c r="F786" s="126">
        <f>1500000</f>
        <v>1500000</v>
      </c>
      <c r="G786" s="34">
        <f>1500000</f>
        <v>1500000</v>
      </c>
      <c r="H786" s="85">
        <f t="shared" si="137"/>
        <v>100</v>
      </c>
    </row>
    <row r="787" spans="1:8" ht="18.75" x14ac:dyDescent="0.25">
      <c r="A787" s="298"/>
      <c r="B787" s="122"/>
      <c r="C787" s="122"/>
      <c r="D787" s="299"/>
      <c r="E787" s="122"/>
      <c r="F787" s="126"/>
      <c r="G787" s="34"/>
      <c r="H787" s="85"/>
    </row>
    <row r="788" spans="1:8" ht="18.75" x14ac:dyDescent="0.25">
      <c r="A788" s="111" t="s">
        <v>261</v>
      </c>
      <c r="B788" s="119" t="s">
        <v>265</v>
      </c>
      <c r="C788" s="29"/>
      <c r="D788" s="125"/>
      <c r="E788" s="139"/>
      <c r="F788" s="139">
        <f t="shared" ref="F788:G789" si="141">F789</f>
        <v>0</v>
      </c>
      <c r="G788" s="117">
        <f t="shared" si="141"/>
        <v>0</v>
      </c>
      <c r="H788" s="85"/>
    </row>
    <row r="789" spans="1:8" ht="18.75" x14ac:dyDescent="0.25">
      <c r="A789" s="109"/>
      <c r="B789" s="29"/>
      <c r="C789" s="29"/>
      <c r="D789" s="36" t="s">
        <v>264</v>
      </c>
      <c r="E789" s="140"/>
      <c r="F789" s="140">
        <f t="shared" si="141"/>
        <v>0</v>
      </c>
      <c r="G789" s="32">
        <f t="shared" si="141"/>
        <v>0</v>
      </c>
      <c r="H789" s="85"/>
    </row>
    <row r="790" spans="1:8" ht="47.25" x14ac:dyDescent="0.25">
      <c r="A790" s="298"/>
      <c r="B790" s="122"/>
      <c r="C790" s="122"/>
      <c r="D790" s="44" t="s">
        <v>461</v>
      </c>
      <c r="E790" s="122"/>
      <c r="F790" s="126">
        <f>5000000-5000000</f>
        <v>0</v>
      </c>
      <c r="G790" s="34"/>
      <c r="H790" s="85"/>
    </row>
    <row r="791" spans="1:8" ht="18.75" x14ac:dyDescent="0.25">
      <c r="A791" s="298"/>
      <c r="B791" s="122"/>
      <c r="C791" s="122"/>
      <c r="D791" s="299"/>
      <c r="E791" s="122"/>
      <c r="F791" s="126"/>
      <c r="G791" s="34"/>
      <c r="H791" s="85"/>
    </row>
    <row r="792" spans="1:8" ht="18.75" x14ac:dyDescent="0.25">
      <c r="A792" s="27" t="s">
        <v>104</v>
      </c>
      <c r="B792" s="142">
        <v>7370</v>
      </c>
      <c r="C792" s="143"/>
      <c r="D792" s="125"/>
      <c r="E792" s="117">
        <f t="shared" ref="E792:G792" si="142">E793+E795</f>
        <v>0</v>
      </c>
      <c r="F792" s="139">
        <f t="shared" si="142"/>
        <v>737000</v>
      </c>
      <c r="G792" s="117">
        <f t="shared" si="142"/>
        <v>721285.16</v>
      </c>
      <c r="H792" s="85">
        <f t="shared" si="137"/>
        <v>97.867728629579375</v>
      </c>
    </row>
    <row r="793" spans="1:8" ht="18.75" x14ac:dyDescent="0.25">
      <c r="A793" s="144"/>
      <c r="B793" s="145"/>
      <c r="C793" s="143"/>
      <c r="D793" s="36" t="s">
        <v>264</v>
      </c>
      <c r="E793" s="32">
        <f>E794</f>
        <v>0</v>
      </c>
      <c r="F793" s="140">
        <f>F794</f>
        <v>737000</v>
      </c>
      <c r="G793" s="32">
        <f>G794</f>
        <v>721285.16</v>
      </c>
      <c r="H793" s="85">
        <f t="shared" si="137"/>
        <v>97.867728629579375</v>
      </c>
    </row>
    <row r="794" spans="1:8" ht="31.5" x14ac:dyDescent="0.25">
      <c r="A794" s="298"/>
      <c r="B794" s="122"/>
      <c r="C794" s="122"/>
      <c r="D794" s="35" t="s">
        <v>66</v>
      </c>
      <c r="E794" s="122"/>
      <c r="F794" s="126">
        <f>212000+525000</f>
        <v>737000</v>
      </c>
      <c r="G794" s="34">
        <f>13139.68+190145.48+518000</f>
        <v>721285.16</v>
      </c>
      <c r="H794" s="85">
        <f t="shared" si="137"/>
        <v>97.867728629579375</v>
      </c>
    </row>
    <row r="795" spans="1:8" ht="18.75" x14ac:dyDescent="0.25">
      <c r="A795" s="298"/>
      <c r="B795" s="122"/>
      <c r="C795" s="122"/>
      <c r="D795" s="299"/>
      <c r="E795" s="122"/>
      <c r="F795" s="126"/>
      <c r="G795" s="34"/>
      <c r="H795" s="85"/>
    </row>
    <row r="796" spans="1:8" ht="18.75" x14ac:dyDescent="0.25">
      <c r="A796" s="231" t="s">
        <v>332</v>
      </c>
      <c r="B796" s="231"/>
      <c r="C796" s="231"/>
      <c r="D796" s="107" t="s">
        <v>251</v>
      </c>
      <c r="E796" s="40"/>
      <c r="F796" s="41">
        <f>F797+F802+F807</f>
        <v>1040000</v>
      </c>
      <c r="G796" s="40">
        <f>G797+G802+G807</f>
        <v>1030149.53</v>
      </c>
      <c r="H796" s="85">
        <f t="shared" si="137"/>
        <v>99.052839423076918</v>
      </c>
    </row>
    <row r="797" spans="1:8" ht="18.75" hidden="1" x14ac:dyDescent="0.25">
      <c r="A797" s="188" t="s">
        <v>270</v>
      </c>
      <c r="B797" s="231" t="s">
        <v>273</v>
      </c>
      <c r="C797" s="231"/>
      <c r="D797" s="107"/>
      <c r="E797" s="40"/>
      <c r="F797" s="41">
        <f t="shared" ref="F797:G798" si="143">F798</f>
        <v>0</v>
      </c>
      <c r="G797" s="40">
        <f t="shared" si="143"/>
        <v>0</v>
      </c>
      <c r="H797" s="85" t="e">
        <f t="shared" si="137"/>
        <v>#DIV/0!</v>
      </c>
    </row>
    <row r="798" spans="1:8" ht="18.75" hidden="1" x14ac:dyDescent="0.25">
      <c r="A798" s="231"/>
      <c r="B798" s="231"/>
      <c r="C798" s="231"/>
      <c r="D798" s="270" t="s">
        <v>253</v>
      </c>
      <c r="E798" s="120"/>
      <c r="F798" s="41">
        <f t="shared" si="143"/>
        <v>0</v>
      </c>
      <c r="G798" s="40">
        <f t="shared" si="143"/>
        <v>0</v>
      </c>
      <c r="H798" s="85" t="e">
        <f t="shared" si="137"/>
        <v>#DIV/0!</v>
      </c>
    </row>
    <row r="799" spans="1:8" ht="18.75" hidden="1" x14ac:dyDescent="0.25">
      <c r="A799" s="231"/>
      <c r="B799" s="231"/>
      <c r="C799" s="231"/>
      <c r="D799" s="300"/>
      <c r="E799" s="34"/>
      <c r="F799" s="126"/>
      <c r="G799" s="34"/>
      <c r="H799" s="85" t="e">
        <f t="shared" si="137"/>
        <v>#DIV/0!</v>
      </c>
    </row>
    <row r="800" spans="1:8" ht="18.75" hidden="1" x14ac:dyDescent="0.25">
      <c r="A800" s="231"/>
      <c r="B800" s="231"/>
      <c r="C800" s="231"/>
      <c r="D800" s="300"/>
      <c r="E800" s="34"/>
      <c r="F800" s="126"/>
      <c r="G800" s="34"/>
      <c r="H800" s="85" t="e">
        <f t="shared" si="137"/>
        <v>#DIV/0!</v>
      </c>
    </row>
    <row r="801" spans="1:8" ht="18.75" hidden="1" x14ac:dyDescent="0.25">
      <c r="A801" s="231"/>
      <c r="B801" s="231"/>
      <c r="C801" s="231"/>
      <c r="D801" s="300"/>
      <c r="E801" s="34"/>
      <c r="F801" s="41"/>
      <c r="G801" s="40"/>
      <c r="H801" s="85" t="e">
        <f t="shared" si="137"/>
        <v>#DIV/0!</v>
      </c>
    </row>
    <row r="802" spans="1:8" ht="30.75" hidden="1" customHeight="1" x14ac:dyDescent="0.25">
      <c r="A802" s="188" t="s">
        <v>271</v>
      </c>
      <c r="B802" s="142">
        <v>1010</v>
      </c>
      <c r="C802" s="231"/>
      <c r="D802" s="300"/>
      <c r="E802" s="34"/>
      <c r="F802" s="41">
        <f>F803</f>
        <v>0</v>
      </c>
      <c r="G802" s="40">
        <f>G803</f>
        <v>0</v>
      </c>
      <c r="H802" s="85" t="e">
        <f t="shared" si="137"/>
        <v>#DIV/0!</v>
      </c>
    </row>
    <row r="803" spans="1:8" ht="18.75" hidden="1" x14ac:dyDescent="0.25">
      <c r="A803" s="231"/>
      <c r="B803" s="231"/>
      <c r="C803" s="231"/>
      <c r="D803" s="270" t="s">
        <v>252</v>
      </c>
      <c r="E803" s="120"/>
      <c r="F803" s="41">
        <f>F804+F805</f>
        <v>0</v>
      </c>
      <c r="G803" s="40">
        <f>G804+G805</f>
        <v>0</v>
      </c>
      <c r="H803" s="85" t="e">
        <f t="shared" si="137"/>
        <v>#DIV/0!</v>
      </c>
    </row>
    <row r="804" spans="1:8" ht="18.75" hidden="1" x14ac:dyDescent="0.25">
      <c r="A804" s="231"/>
      <c r="B804" s="231"/>
      <c r="C804" s="231"/>
      <c r="D804" s="301"/>
      <c r="E804" s="34"/>
      <c r="F804" s="43"/>
      <c r="G804" s="42"/>
      <c r="H804" s="85" t="e">
        <f t="shared" si="137"/>
        <v>#DIV/0!</v>
      </c>
    </row>
    <row r="805" spans="1:8" ht="18.75" hidden="1" x14ac:dyDescent="0.25">
      <c r="A805" s="231"/>
      <c r="B805" s="231"/>
      <c r="C805" s="231"/>
      <c r="D805" s="271"/>
      <c r="E805" s="34"/>
      <c r="F805" s="43"/>
      <c r="G805" s="42"/>
      <c r="H805" s="85" t="e">
        <f t="shared" si="137"/>
        <v>#DIV/0!</v>
      </c>
    </row>
    <row r="806" spans="1:8" ht="18.75" hidden="1" x14ac:dyDescent="0.25">
      <c r="A806" s="231"/>
      <c r="B806" s="231"/>
      <c r="C806" s="231"/>
      <c r="D806" s="300"/>
      <c r="E806" s="34"/>
      <c r="F806" s="43"/>
      <c r="G806" s="40"/>
      <c r="H806" s="85" t="e">
        <f t="shared" si="137"/>
        <v>#DIV/0!</v>
      </c>
    </row>
    <row r="807" spans="1:8" ht="35.25" customHeight="1" x14ac:dyDescent="0.25">
      <c r="A807" s="188">
        <v>611021</v>
      </c>
      <c r="B807" s="142">
        <v>1021</v>
      </c>
      <c r="C807" s="231"/>
      <c r="D807" s="300"/>
      <c r="E807" s="34"/>
      <c r="F807" s="41">
        <f>F808</f>
        <v>1040000</v>
      </c>
      <c r="G807" s="40">
        <f>G808</f>
        <v>1030149.53</v>
      </c>
      <c r="H807" s="85">
        <f t="shared" si="137"/>
        <v>99.052839423076918</v>
      </c>
    </row>
    <row r="808" spans="1:8" ht="18.75" x14ac:dyDescent="0.25">
      <c r="A808" s="142"/>
      <c r="B808" s="142"/>
      <c r="C808" s="231"/>
      <c r="D808" s="302" t="s">
        <v>253</v>
      </c>
      <c r="E808" s="120"/>
      <c r="F808" s="41">
        <f>SUM(F809:F814)</f>
        <v>1040000</v>
      </c>
      <c r="G808" s="40">
        <f>SUM(G809:G814)</f>
        <v>1030149.53</v>
      </c>
      <c r="H808" s="85">
        <f t="shared" si="137"/>
        <v>99.052839423076918</v>
      </c>
    </row>
    <row r="809" spans="1:8" ht="63" x14ac:dyDescent="0.25">
      <c r="A809" s="142"/>
      <c r="B809" s="142"/>
      <c r="C809" s="231"/>
      <c r="D809" s="66" t="s">
        <v>482</v>
      </c>
      <c r="E809" s="34"/>
      <c r="F809" s="126">
        <f>550000-550000</f>
        <v>0</v>
      </c>
      <c r="G809" s="34"/>
      <c r="H809" s="85"/>
    </row>
    <row r="810" spans="1:8" ht="110.25" x14ac:dyDescent="0.25">
      <c r="A810" s="142"/>
      <c r="B810" s="142"/>
      <c r="C810" s="231"/>
      <c r="D810" s="66" t="s">
        <v>503</v>
      </c>
      <c r="E810" s="34"/>
      <c r="F810" s="126">
        <f>550000</f>
        <v>550000</v>
      </c>
      <c r="G810" s="34">
        <f>545950</f>
        <v>545950</v>
      </c>
      <c r="H810" s="85">
        <f t="shared" si="137"/>
        <v>99.263636363636365</v>
      </c>
    </row>
    <row r="811" spans="1:8" ht="18.75" x14ac:dyDescent="0.25">
      <c r="A811" s="142"/>
      <c r="B811" s="142"/>
      <c r="C811" s="231"/>
      <c r="D811" s="54"/>
      <c r="E811" s="34"/>
      <c r="F811" s="126"/>
      <c r="G811" s="34"/>
      <c r="H811" s="85"/>
    </row>
    <row r="812" spans="1:8" ht="63" x14ac:dyDescent="0.25">
      <c r="A812" s="142"/>
      <c r="B812" s="142"/>
      <c r="C812" s="231"/>
      <c r="D812" s="55" t="s">
        <v>483</v>
      </c>
      <c r="E812" s="34"/>
      <c r="F812" s="126">
        <f>290000</f>
        <v>290000</v>
      </c>
      <c r="G812" s="34">
        <f>285946+3475</f>
        <v>289421</v>
      </c>
      <c r="H812" s="85">
        <f t="shared" si="137"/>
        <v>99.800344827586201</v>
      </c>
    </row>
    <row r="813" spans="1:8" ht="31.5" x14ac:dyDescent="0.25">
      <c r="A813" s="231"/>
      <c r="B813" s="231"/>
      <c r="C813" s="231"/>
      <c r="D813" s="55" t="s">
        <v>484</v>
      </c>
      <c r="E813" s="34"/>
      <c r="F813" s="126">
        <f>200000</f>
        <v>200000</v>
      </c>
      <c r="G813" s="34">
        <f>64333+126462+1350+2633.53</f>
        <v>194778.53</v>
      </c>
      <c r="H813" s="85">
        <f t="shared" si="137"/>
        <v>97.389265000000009</v>
      </c>
    </row>
    <row r="814" spans="1:8" ht="12" customHeight="1" x14ac:dyDescent="0.25">
      <c r="A814" s="231"/>
      <c r="B814" s="231"/>
      <c r="C814" s="231"/>
      <c r="D814" s="52"/>
      <c r="E814" s="34"/>
      <c r="F814" s="126"/>
      <c r="G814" s="34"/>
      <c r="H814" s="85"/>
    </row>
    <row r="815" spans="1:8" ht="18.75" x14ac:dyDescent="0.25">
      <c r="A815" s="37" t="s">
        <v>229</v>
      </c>
      <c r="B815" s="37"/>
      <c r="C815" s="37"/>
      <c r="D815" s="38" t="s">
        <v>317</v>
      </c>
      <c r="E815" s="39"/>
      <c r="F815" s="41">
        <f>F816+F820</f>
        <v>635000</v>
      </c>
      <c r="G815" s="40">
        <f>G816+G820</f>
        <v>629211.53</v>
      </c>
      <c r="H815" s="85">
        <f t="shared" si="137"/>
        <v>99.088429921259845</v>
      </c>
    </row>
    <row r="816" spans="1:8" ht="18.75" x14ac:dyDescent="0.25">
      <c r="A816" s="37">
        <v>1014030</v>
      </c>
      <c r="B816" s="37">
        <v>4030</v>
      </c>
      <c r="C816" s="37"/>
      <c r="D816" s="38"/>
      <c r="E816" s="39"/>
      <c r="F816" s="41">
        <f>F817</f>
        <v>435000</v>
      </c>
      <c r="G816" s="40">
        <f>G817</f>
        <v>429251.53</v>
      </c>
      <c r="H816" s="85">
        <f t="shared" si="137"/>
        <v>98.678512643678161</v>
      </c>
    </row>
    <row r="817" spans="1:8" ht="18.75" x14ac:dyDescent="0.25">
      <c r="A817" s="291"/>
      <c r="B817" s="291"/>
      <c r="C817" s="292"/>
      <c r="D817" s="36" t="s">
        <v>253</v>
      </c>
      <c r="E817" s="303"/>
      <c r="F817" s="41">
        <f>SUM(F818:F819)</f>
        <v>435000</v>
      </c>
      <c r="G817" s="40">
        <f>SUM(G818:G819)</f>
        <v>429251.53</v>
      </c>
      <c r="H817" s="85">
        <f t="shared" si="137"/>
        <v>98.678512643678161</v>
      </c>
    </row>
    <row r="818" spans="1:8" ht="31.5" x14ac:dyDescent="0.25">
      <c r="A818" s="37"/>
      <c r="B818" s="37"/>
      <c r="C818" s="37"/>
      <c r="D818" s="56" t="s">
        <v>485</v>
      </c>
      <c r="E818" s="39"/>
      <c r="F818" s="43">
        <f>435000</f>
        <v>435000</v>
      </c>
      <c r="G818" s="42">
        <f>429251.53</f>
        <v>429251.53</v>
      </c>
      <c r="H818" s="85">
        <f t="shared" si="137"/>
        <v>98.678512643678161</v>
      </c>
    </row>
    <row r="819" spans="1:8" ht="18.75" x14ac:dyDescent="0.25">
      <c r="A819" s="37"/>
      <c r="B819" s="37"/>
      <c r="C819" s="37"/>
      <c r="D819" s="38"/>
      <c r="E819" s="39"/>
      <c r="F819" s="41"/>
      <c r="G819" s="40"/>
      <c r="H819" s="85"/>
    </row>
    <row r="820" spans="1:8" ht="18.75" x14ac:dyDescent="0.25">
      <c r="A820" s="223">
        <v>1014060</v>
      </c>
      <c r="B820" s="304">
        <v>4060</v>
      </c>
      <c r="C820" s="304"/>
      <c r="D820" s="305"/>
      <c r="E820" s="306"/>
      <c r="F820" s="41">
        <f>F824+F821</f>
        <v>200000</v>
      </c>
      <c r="G820" s="40">
        <f>G824+G821</f>
        <v>199960</v>
      </c>
      <c r="H820" s="85">
        <f t="shared" si="137"/>
        <v>99.98</v>
      </c>
    </row>
    <row r="821" spans="1:8" ht="18.75" hidden="1" x14ac:dyDescent="0.25">
      <c r="A821" s="291"/>
      <c r="B821" s="291"/>
      <c r="C821" s="292"/>
      <c r="D821" s="36" t="s">
        <v>290</v>
      </c>
      <c r="E821" s="303"/>
      <c r="F821" s="41">
        <f>SUM(F822:F823)</f>
        <v>0</v>
      </c>
      <c r="G821" s="40">
        <f>SUM(G822:G823)</f>
        <v>0</v>
      </c>
      <c r="H821" s="85" t="e">
        <f t="shared" si="137"/>
        <v>#DIV/0!</v>
      </c>
    </row>
    <row r="822" spans="1:8" ht="18.75" hidden="1" x14ac:dyDescent="0.25">
      <c r="A822" s="223"/>
      <c r="B822" s="304"/>
      <c r="C822" s="304"/>
      <c r="D822" s="44"/>
      <c r="E822" s="306"/>
      <c r="F822" s="126"/>
      <c r="G822" s="42"/>
      <c r="H822" s="85" t="e">
        <f t="shared" si="137"/>
        <v>#DIV/0!</v>
      </c>
    </row>
    <row r="823" spans="1:8" ht="18.75" hidden="1" x14ac:dyDescent="0.25">
      <c r="A823" s="223"/>
      <c r="B823" s="304"/>
      <c r="C823" s="304"/>
      <c r="D823" s="305"/>
      <c r="E823" s="306"/>
      <c r="F823" s="41"/>
      <c r="G823" s="40"/>
      <c r="H823" s="85" t="e">
        <f t="shared" si="137"/>
        <v>#DIV/0!</v>
      </c>
    </row>
    <row r="824" spans="1:8" ht="18.75" x14ac:dyDescent="0.25">
      <c r="A824" s="291"/>
      <c r="B824" s="291"/>
      <c r="C824" s="292"/>
      <c r="D824" s="36" t="s">
        <v>253</v>
      </c>
      <c r="E824" s="303"/>
      <c r="F824" s="41">
        <f>SUM(F825:F826)</f>
        <v>200000</v>
      </c>
      <c r="G824" s="40">
        <f>SUM(G825:G826)</f>
        <v>199960</v>
      </c>
      <c r="H824" s="85">
        <f t="shared" si="137"/>
        <v>99.98</v>
      </c>
    </row>
    <row r="825" spans="1:8" ht="47.25" x14ac:dyDescent="0.25">
      <c r="A825" s="291"/>
      <c r="B825" s="291"/>
      <c r="C825" s="292"/>
      <c r="D825" s="44" t="s">
        <v>192</v>
      </c>
      <c r="E825" s="34"/>
      <c r="F825" s="43">
        <f>200000</f>
        <v>200000</v>
      </c>
      <c r="G825" s="42">
        <f>99960+100000</f>
        <v>199960</v>
      </c>
      <c r="H825" s="85">
        <f t="shared" si="137"/>
        <v>99.98</v>
      </c>
    </row>
    <row r="826" spans="1:8" ht="18.75" x14ac:dyDescent="0.25">
      <c r="A826" s="291"/>
      <c r="B826" s="291"/>
      <c r="C826" s="292"/>
      <c r="D826" s="44"/>
      <c r="E826" s="34"/>
      <c r="F826" s="43"/>
      <c r="G826" s="42"/>
      <c r="H826" s="85"/>
    </row>
    <row r="827" spans="1:8" ht="18.75" x14ac:dyDescent="0.3">
      <c r="A827" s="213" t="s">
        <v>285</v>
      </c>
      <c r="B827" s="283"/>
      <c r="C827" s="231"/>
      <c r="D827" s="107" t="s">
        <v>351</v>
      </c>
      <c r="E827" s="242"/>
      <c r="F827" s="378">
        <f>F828+F832+F839</f>
        <v>3854045</v>
      </c>
      <c r="G827" s="242">
        <f>G828+G832+G839</f>
        <v>3673445.7</v>
      </c>
      <c r="H827" s="85">
        <f t="shared" si="137"/>
        <v>95.314032399725491</v>
      </c>
    </row>
    <row r="828" spans="1:8" ht="18.75" hidden="1" x14ac:dyDescent="0.25">
      <c r="A828" s="171">
        <v>3116013</v>
      </c>
      <c r="B828" s="171">
        <v>6013</v>
      </c>
      <c r="C828" s="171"/>
      <c r="D828" s="173"/>
      <c r="E828" s="40"/>
      <c r="F828" s="41">
        <f>F829</f>
        <v>0</v>
      </c>
      <c r="G828" s="40">
        <f>G829</f>
        <v>0</v>
      </c>
      <c r="H828" s="85" t="e">
        <f t="shared" si="137"/>
        <v>#DIV/0!</v>
      </c>
    </row>
    <row r="829" spans="1:8" ht="18.75" hidden="1" x14ac:dyDescent="0.25">
      <c r="A829" s="171"/>
      <c r="B829" s="171"/>
      <c r="C829" s="171"/>
      <c r="D829" s="36" t="s">
        <v>290</v>
      </c>
      <c r="E829" s="40"/>
      <c r="F829" s="120">
        <f>F830+F831</f>
        <v>0</v>
      </c>
      <c r="G829" s="33">
        <f>G830+G831</f>
        <v>0</v>
      </c>
      <c r="H829" s="85" t="e">
        <f t="shared" si="137"/>
        <v>#DIV/0!</v>
      </c>
    </row>
    <row r="830" spans="1:8" ht="55.5" hidden="1" customHeight="1" x14ac:dyDescent="0.25">
      <c r="A830" s="171"/>
      <c r="B830" s="171"/>
      <c r="C830" s="171"/>
      <c r="D830" s="307"/>
      <c r="E830" s="40"/>
      <c r="F830" s="126"/>
      <c r="G830" s="34"/>
      <c r="H830" s="85" t="e">
        <f t="shared" ref="H830:H842" si="144">G830/F830*100</f>
        <v>#DIV/0!</v>
      </c>
    </row>
    <row r="831" spans="1:8" ht="18.75" hidden="1" x14ac:dyDescent="0.25">
      <c r="A831" s="171"/>
      <c r="B831" s="171"/>
      <c r="C831" s="171"/>
      <c r="D831" s="173"/>
      <c r="E831" s="40"/>
      <c r="F831" s="41"/>
      <c r="G831" s="40"/>
      <c r="H831" s="85" t="e">
        <f t="shared" si="144"/>
        <v>#DIV/0!</v>
      </c>
    </row>
    <row r="832" spans="1:8" ht="18.75" x14ac:dyDescent="0.25">
      <c r="A832" s="171">
        <v>3116030</v>
      </c>
      <c r="B832" s="171">
        <v>6030</v>
      </c>
      <c r="C832" s="171"/>
      <c r="D832" s="36"/>
      <c r="E832" s="40"/>
      <c r="F832" s="120">
        <f>F833</f>
        <v>3854045</v>
      </c>
      <c r="G832" s="33">
        <f>G833</f>
        <v>3673445.7</v>
      </c>
      <c r="H832" s="85">
        <f t="shared" si="144"/>
        <v>95.314032399725491</v>
      </c>
    </row>
    <row r="833" spans="1:8" ht="18.75" x14ac:dyDescent="0.25">
      <c r="A833" s="171"/>
      <c r="B833" s="171"/>
      <c r="C833" s="171"/>
      <c r="D833" s="36" t="s">
        <v>253</v>
      </c>
      <c r="E833" s="40"/>
      <c r="F833" s="120">
        <f>SUM(F834:F837)</f>
        <v>3854045</v>
      </c>
      <c r="G833" s="33">
        <f t="shared" ref="G833" si="145">SUM(G834:G837)</f>
        <v>3673445.7</v>
      </c>
      <c r="H833" s="85">
        <f t="shared" si="144"/>
        <v>95.314032399725491</v>
      </c>
    </row>
    <row r="834" spans="1:8" ht="31.5" x14ac:dyDescent="0.25">
      <c r="A834" s="291"/>
      <c r="B834" s="291"/>
      <c r="C834" s="292"/>
      <c r="D834" s="44" t="s">
        <v>496</v>
      </c>
      <c r="E834" s="34"/>
      <c r="F834" s="126">
        <v>290000</v>
      </c>
      <c r="G834" s="34">
        <f>289371.6+628.4-0.51</f>
        <v>289999.49</v>
      </c>
      <c r="H834" s="85">
        <f t="shared" si="144"/>
        <v>99.999824137931029</v>
      </c>
    </row>
    <row r="835" spans="1:8" ht="31.5" x14ac:dyDescent="0.25">
      <c r="A835" s="291"/>
      <c r="B835" s="291"/>
      <c r="C835" s="292"/>
      <c r="D835" s="44" t="s">
        <v>497</v>
      </c>
      <c r="E835" s="34"/>
      <c r="F835" s="126">
        <v>130045</v>
      </c>
      <c r="G835" s="34"/>
      <c r="H835" s="85">
        <f t="shared" si="144"/>
        <v>0</v>
      </c>
    </row>
    <row r="836" spans="1:8" ht="35.25" customHeight="1" x14ac:dyDescent="0.25">
      <c r="A836" s="291"/>
      <c r="B836" s="291"/>
      <c r="C836" s="292"/>
      <c r="D836" s="45" t="s">
        <v>377</v>
      </c>
      <c r="E836" s="34"/>
      <c r="F836" s="126">
        <f>2504000</f>
        <v>2504000</v>
      </c>
      <c r="G836" s="34">
        <f>2431216.8+22229.41</f>
        <v>2453446.21</v>
      </c>
      <c r="H836" s="85">
        <f t="shared" si="144"/>
        <v>97.981078674121406</v>
      </c>
    </row>
    <row r="837" spans="1:8" ht="31.5" x14ac:dyDescent="0.25">
      <c r="A837" s="291"/>
      <c r="B837" s="291"/>
      <c r="C837" s="292"/>
      <c r="D837" s="45" t="s">
        <v>504</v>
      </c>
      <c r="E837" s="34"/>
      <c r="F837" s="126">
        <f>930000</f>
        <v>930000</v>
      </c>
      <c r="G837" s="34">
        <f>929897.96+102.04</f>
        <v>930000</v>
      </c>
      <c r="H837" s="85">
        <f t="shared" si="144"/>
        <v>100</v>
      </c>
    </row>
    <row r="838" spans="1:8" ht="18.75" x14ac:dyDescent="0.25">
      <c r="A838" s="291"/>
      <c r="B838" s="291"/>
      <c r="C838" s="292"/>
      <c r="D838" s="44"/>
      <c r="E838" s="34"/>
      <c r="F838" s="126"/>
      <c r="G838" s="34"/>
      <c r="H838" s="85"/>
    </row>
    <row r="839" spans="1:8" ht="18.75" hidden="1" x14ac:dyDescent="0.25">
      <c r="A839" s="291"/>
      <c r="B839" s="171">
        <v>6040</v>
      </c>
      <c r="C839" s="171"/>
      <c r="D839" s="173"/>
      <c r="E839" s="40"/>
      <c r="F839" s="41">
        <f t="shared" ref="F839:G840" si="146">F840</f>
        <v>0</v>
      </c>
      <c r="G839" s="40">
        <f t="shared" si="146"/>
        <v>0</v>
      </c>
      <c r="H839" s="85" t="e">
        <f t="shared" si="144"/>
        <v>#DIV/0!</v>
      </c>
    </row>
    <row r="840" spans="1:8" ht="18.75" hidden="1" x14ac:dyDescent="0.25">
      <c r="A840" s="291"/>
      <c r="B840" s="171"/>
      <c r="C840" s="171"/>
      <c r="D840" s="36" t="s">
        <v>253</v>
      </c>
      <c r="E840" s="40"/>
      <c r="F840" s="120">
        <f t="shared" si="146"/>
        <v>0</v>
      </c>
      <c r="G840" s="33">
        <f t="shared" si="146"/>
        <v>0</v>
      </c>
      <c r="H840" s="85" t="e">
        <f t="shared" si="144"/>
        <v>#DIV/0!</v>
      </c>
    </row>
    <row r="841" spans="1:8" ht="18.75" hidden="1" x14ac:dyDescent="0.25">
      <c r="A841" s="291"/>
      <c r="B841" s="291"/>
      <c r="C841" s="292"/>
      <c r="D841" s="300"/>
      <c r="E841" s="34"/>
      <c r="F841" s="126"/>
      <c r="G841" s="34"/>
      <c r="H841" s="85" t="e">
        <f t="shared" si="144"/>
        <v>#DIV/0!</v>
      </c>
    </row>
    <row r="842" spans="1:8" ht="21" x14ac:dyDescent="0.25">
      <c r="A842" s="294"/>
      <c r="B842" s="294"/>
      <c r="C842" s="294"/>
      <c r="D842" s="214" t="s">
        <v>337</v>
      </c>
      <c r="E842" s="168"/>
      <c r="F842" s="167">
        <f>F764+F796+F815+F827</f>
        <v>11894361</v>
      </c>
      <c r="G842" s="168">
        <f>G764+G796+G815+G827</f>
        <v>11644403.920000002</v>
      </c>
      <c r="H842" s="85">
        <f t="shared" si="144"/>
        <v>97.898524519307955</v>
      </c>
    </row>
    <row r="843" spans="1:8" ht="21" x14ac:dyDescent="0.25">
      <c r="A843" s="308"/>
      <c r="B843" s="308"/>
      <c r="C843" s="308"/>
      <c r="D843" s="70"/>
      <c r="E843" s="71"/>
      <c r="F843" s="383"/>
      <c r="G843" s="71"/>
      <c r="H843" s="71"/>
    </row>
    <row r="844" spans="1:8" ht="20.25" hidden="1" x14ac:dyDescent="0.25">
      <c r="B844" s="393" t="s">
        <v>325</v>
      </c>
      <c r="C844" s="393"/>
      <c r="D844" s="393"/>
      <c r="E844" s="393"/>
      <c r="F844" s="393"/>
      <c r="G844" s="393"/>
      <c r="H844" s="393"/>
    </row>
    <row r="845" spans="1:8" ht="23.25" hidden="1" customHeight="1" x14ac:dyDescent="0.35">
      <c r="B845" s="392" t="s">
        <v>328</v>
      </c>
      <c r="C845" s="392"/>
      <c r="D845" s="392"/>
      <c r="E845" s="392"/>
      <c r="F845" s="392"/>
      <c r="G845" s="392"/>
      <c r="H845" s="392"/>
    </row>
    <row r="846" spans="1:8" s="9" customFormat="1" hidden="1" x14ac:dyDescent="0.25">
      <c r="A846" s="288"/>
      <c r="B846" s="288"/>
      <c r="C846" s="73"/>
      <c r="D846" s="72"/>
      <c r="E846" s="72"/>
      <c r="F846" s="350"/>
      <c r="G846" s="289"/>
      <c r="H846" s="290"/>
    </row>
    <row r="847" spans="1:8" s="9" customFormat="1" ht="15.75" hidden="1" customHeight="1" x14ac:dyDescent="0.25">
      <c r="A847" s="406" t="s">
        <v>239</v>
      </c>
      <c r="B847" s="395" t="s">
        <v>240</v>
      </c>
      <c r="C847" s="402" t="s">
        <v>322</v>
      </c>
      <c r="D847" s="391" t="s">
        <v>238</v>
      </c>
      <c r="E847" s="395" t="s">
        <v>301</v>
      </c>
      <c r="F847" s="391" t="s">
        <v>302</v>
      </c>
      <c r="G847" s="394" t="s">
        <v>307</v>
      </c>
      <c r="H847" s="266" t="s">
        <v>254</v>
      </c>
    </row>
    <row r="848" spans="1:8" s="9" customFormat="1" ht="168" hidden="1" customHeight="1" x14ac:dyDescent="0.25">
      <c r="A848" s="398"/>
      <c r="B848" s="398"/>
      <c r="C848" s="403"/>
      <c r="D848" s="391"/>
      <c r="E848" s="396"/>
      <c r="F848" s="391"/>
      <c r="G848" s="394"/>
      <c r="H848" s="267" t="s">
        <v>308</v>
      </c>
    </row>
    <row r="849" spans="1:8" s="9" customFormat="1" ht="18.75" hidden="1" x14ac:dyDescent="0.25">
      <c r="A849" s="188" t="s">
        <v>323</v>
      </c>
      <c r="B849" s="309"/>
      <c r="C849" s="309"/>
      <c r="D849" s="310" t="s">
        <v>237</v>
      </c>
      <c r="E849" s="82"/>
      <c r="F849" s="41">
        <f>F850</f>
        <v>0</v>
      </c>
      <c r="G849" s="40">
        <f>G850</f>
        <v>0</v>
      </c>
      <c r="H849" s="40" t="e">
        <f>H850</f>
        <v>#REF!</v>
      </c>
    </row>
    <row r="850" spans="1:8" ht="25.5" hidden="1" customHeight="1" x14ac:dyDescent="0.25">
      <c r="A850" s="188" t="s">
        <v>329</v>
      </c>
      <c r="B850" s="188">
        <v>7363</v>
      </c>
      <c r="C850" s="188"/>
      <c r="D850" s="125"/>
      <c r="E850" s="126"/>
      <c r="F850" s="41">
        <f>F851+F853</f>
        <v>0</v>
      </c>
      <c r="G850" s="40">
        <f>G851+G853</f>
        <v>0</v>
      </c>
      <c r="H850" s="40" t="e">
        <f>H851+H853</f>
        <v>#REF!</v>
      </c>
    </row>
    <row r="851" spans="1:8" ht="18.75" hidden="1" x14ac:dyDescent="0.25">
      <c r="A851" s="269"/>
      <c r="B851" s="268"/>
      <c r="C851" s="268"/>
      <c r="D851" s="270" t="s">
        <v>266</v>
      </c>
      <c r="E851" s="120"/>
      <c r="F851" s="41">
        <f>F852</f>
        <v>0</v>
      </c>
      <c r="G851" s="40">
        <f>G852</f>
        <v>0</v>
      </c>
      <c r="H851" s="40" t="e">
        <f>H852</f>
        <v>#REF!</v>
      </c>
    </row>
    <row r="852" spans="1:8" ht="56.25" hidden="1" x14ac:dyDescent="0.25">
      <c r="A852" s="298"/>
      <c r="B852" s="126"/>
      <c r="C852" s="311"/>
      <c r="D852" s="312" t="s">
        <v>330</v>
      </c>
      <c r="E852" s="122"/>
      <c r="F852" s="126"/>
      <c r="G852" s="34"/>
      <c r="H852" s="34" t="e">
        <f>#REF!-G852</f>
        <v>#REF!</v>
      </c>
    </row>
    <row r="853" spans="1:8" ht="15.75" hidden="1" customHeight="1" x14ac:dyDescent="0.25">
      <c r="A853" s="269"/>
      <c r="B853" s="268"/>
      <c r="C853" s="268"/>
      <c r="D853" s="270" t="s">
        <v>253</v>
      </c>
      <c r="E853" s="120"/>
      <c r="F853" s="41">
        <f>F854</f>
        <v>0</v>
      </c>
      <c r="G853" s="40">
        <f>G854</f>
        <v>0</v>
      </c>
      <c r="H853" s="40" t="e">
        <f>H854</f>
        <v>#REF!</v>
      </c>
    </row>
    <row r="854" spans="1:8" ht="51.75" hidden="1" customHeight="1" x14ac:dyDescent="0.25">
      <c r="A854" s="298"/>
      <c r="B854" s="126"/>
      <c r="C854" s="311"/>
      <c r="D854" s="312" t="s">
        <v>331</v>
      </c>
      <c r="E854" s="122"/>
      <c r="F854" s="126"/>
      <c r="G854" s="266"/>
      <c r="H854" s="34" t="e">
        <f>#REF!-G854</f>
        <v>#REF!</v>
      </c>
    </row>
    <row r="855" spans="1:8" ht="18.75" hidden="1" x14ac:dyDescent="0.25">
      <c r="A855" s="231" t="s">
        <v>332</v>
      </c>
      <c r="B855" s="268"/>
      <c r="C855" s="268"/>
      <c r="D855" s="107" t="s">
        <v>251</v>
      </c>
      <c r="E855" s="40"/>
      <c r="F855" s="41">
        <f t="shared" ref="F855:G856" si="147">F856</f>
        <v>0</v>
      </c>
      <c r="G855" s="40">
        <f t="shared" si="147"/>
        <v>0</v>
      </c>
      <c r="H855" s="40" t="e">
        <f>#REF!-G855</f>
        <v>#REF!</v>
      </c>
    </row>
    <row r="856" spans="1:8" ht="18.75" hidden="1" x14ac:dyDescent="0.25">
      <c r="A856" s="57" t="s">
        <v>333</v>
      </c>
      <c r="B856" s="142">
        <v>7363</v>
      </c>
      <c r="C856" s="268"/>
      <c r="D856" s="107"/>
      <c r="E856" s="40"/>
      <c r="F856" s="41">
        <f t="shared" si="147"/>
        <v>0</v>
      </c>
      <c r="G856" s="40">
        <f t="shared" si="147"/>
        <v>0</v>
      </c>
      <c r="H856" s="40" t="e">
        <f>H857</f>
        <v>#REF!</v>
      </c>
    </row>
    <row r="857" spans="1:8" ht="18.75" hidden="1" x14ac:dyDescent="0.25">
      <c r="A857" s="269"/>
      <c r="B857" s="268"/>
      <c r="C857" s="268"/>
      <c r="D857" s="270" t="s">
        <v>253</v>
      </c>
      <c r="E857" s="120"/>
      <c r="F857" s="41">
        <f>SUM(F858:F859)</f>
        <v>0</v>
      </c>
      <c r="G857" s="40">
        <f>SUM(G858:G859)</f>
        <v>0</v>
      </c>
      <c r="H857" s="40" t="e">
        <f>SUM(H858:H859)</f>
        <v>#REF!</v>
      </c>
    </row>
    <row r="858" spans="1:8" ht="47.25" hidden="1" x14ac:dyDescent="0.25">
      <c r="A858" s="269"/>
      <c r="B858" s="268"/>
      <c r="C858" s="268"/>
      <c r="D858" s="313" t="s">
        <v>234</v>
      </c>
      <c r="E858" s="34"/>
      <c r="F858" s="126"/>
      <c r="G858" s="34"/>
      <c r="H858" s="34" t="e">
        <f>#REF!-G858</f>
        <v>#REF!</v>
      </c>
    </row>
    <row r="859" spans="1:8" ht="31.5" hidden="1" x14ac:dyDescent="0.25">
      <c r="A859" s="269"/>
      <c r="B859" s="268"/>
      <c r="C859" s="268"/>
      <c r="D859" s="52" t="s">
        <v>235</v>
      </c>
      <c r="E859" s="285"/>
      <c r="F859" s="126"/>
      <c r="G859" s="314"/>
      <c r="H859" s="124" t="e">
        <f>#REF!-G859</f>
        <v>#REF!</v>
      </c>
    </row>
    <row r="860" spans="1:8" ht="18.75" hidden="1" x14ac:dyDescent="0.25">
      <c r="A860" s="213" t="s">
        <v>334</v>
      </c>
      <c r="B860" s="213"/>
      <c r="C860" s="213"/>
      <c r="D860" s="310" t="s">
        <v>351</v>
      </c>
      <c r="E860" s="82"/>
      <c r="F860" s="41">
        <f t="shared" ref="F860:H862" si="148">F861</f>
        <v>0</v>
      </c>
      <c r="G860" s="40">
        <f t="shared" si="148"/>
        <v>0</v>
      </c>
      <c r="H860" s="40" t="e">
        <f t="shared" si="148"/>
        <v>#REF!</v>
      </c>
    </row>
    <row r="861" spans="1:8" ht="18.75" hidden="1" x14ac:dyDescent="0.25">
      <c r="A861" s="315" t="s">
        <v>335</v>
      </c>
      <c r="B861" s="188">
        <v>7363</v>
      </c>
      <c r="C861" s="213"/>
      <c r="D861" s="284"/>
      <c r="E861" s="316"/>
      <c r="F861" s="41">
        <f t="shared" si="148"/>
        <v>0</v>
      </c>
      <c r="G861" s="40">
        <f t="shared" si="148"/>
        <v>0</v>
      </c>
      <c r="H861" s="40" t="e">
        <f t="shared" si="148"/>
        <v>#REF!</v>
      </c>
    </row>
    <row r="862" spans="1:8" ht="20.25" hidden="1" x14ac:dyDescent="0.25">
      <c r="A862" s="291"/>
      <c r="B862" s="291"/>
      <c r="C862" s="317"/>
      <c r="D862" s="270" t="s">
        <v>253</v>
      </c>
      <c r="E862" s="120"/>
      <c r="F862" s="120">
        <f t="shared" si="148"/>
        <v>0</v>
      </c>
      <c r="G862" s="33">
        <f t="shared" si="148"/>
        <v>0</v>
      </c>
      <c r="H862" s="33" t="e">
        <f t="shared" si="148"/>
        <v>#REF!</v>
      </c>
    </row>
    <row r="863" spans="1:8" ht="31.5" hidden="1" x14ac:dyDescent="0.25">
      <c r="A863" s="291"/>
      <c r="B863" s="291"/>
      <c r="C863" s="317"/>
      <c r="D863" s="52" t="s">
        <v>336</v>
      </c>
      <c r="E863" s="120"/>
      <c r="F863" s="126"/>
      <c r="G863" s="34"/>
      <c r="H863" s="34" t="e">
        <f>#REF!-G863</f>
        <v>#REF!</v>
      </c>
    </row>
    <row r="864" spans="1:8" ht="21" hidden="1" x14ac:dyDescent="0.25">
      <c r="A864" s="269"/>
      <c r="B864" s="272"/>
      <c r="C864" s="272"/>
      <c r="D864" s="214" t="s">
        <v>337</v>
      </c>
      <c r="E864" s="168"/>
      <c r="F864" s="167">
        <f>F855+F849+F860</f>
        <v>0</v>
      </c>
      <c r="G864" s="168">
        <f>G855+G849+G860</f>
        <v>0</v>
      </c>
      <c r="H864" s="168" t="e">
        <f>H855+H849+H860</f>
        <v>#REF!</v>
      </c>
    </row>
    <row r="865" spans="1:8" ht="20.25" hidden="1" x14ac:dyDescent="0.25">
      <c r="A865" s="287"/>
      <c r="B865" s="287"/>
      <c r="C865" s="287"/>
      <c r="D865" s="214" t="s">
        <v>352</v>
      </c>
      <c r="E865" s="287"/>
      <c r="F865" s="167">
        <f>F864+F949</f>
        <v>18193700</v>
      </c>
      <c r="G865" s="168">
        <f>G864+G949</f>
        <v>16977686.759999998</v>
      </c>
      <c r="H865" s="168" t="e">
        <f>H864+H949</f>
        <v>#REF!</v>
      </c>
    </row>
    <row r="866" spans="1:8" hidden="1" x14ac:dyDescent="0.25">
      <c r="C866" s="73"/>
      <c r="D866" s="72"/>
      <c r="E866" s="72"/>
      <c r="F866" s="350"/>
      <c r="G866" s="289"/>
      <c r="H866" s="290"/>
    </row>
    <row r="867" spans="1:8" hidden="1" x14ac:dyDescent="0.25">
      <c r="C867" s="73"/>
      <c r="D867" s="72"/>
      <c r="E867" s="72"/>
      <c r="F867" s="350"/>
      <c r="G867" s="289"/>
      <c r="H867" s="290"/>
    </row>
    <row r="868" spans="1:8" hidden="1" x14ac:dyDescent="0.25">
      <c r="C868" s="73"/>
      <c r="D868" s="72"/>
      <c r="E868" s="72"/>
      <c r="F868" s="350"/>
      <c r="G868" s="289"/>
      <c r="H868" s="290"/>
    </row>
    <row r="869" spans="1:8" hidden="1" x14ac:dyDescent="0.25">
      <c r="C869" s="73"/>
      <c r="D869" s="72"/>
      <c r="E869" s="72"/>
      <c r="F869" s="350"/>
      <c r="G869" s="289"/>
      <c r="H869" s="290"/>
    </row>
    <row r="870" spans="1:8" ht="20.25" hidden="1" x14ac:dyDescent="0.25">
      <c r="B870" s="393" t="s">
        <v>325</v>
      </c>
      <c r="C870" s="393"/>
      <c r="D870" s="393"/>
      <c r="E870" s="393"/>
      <c r="F870" s="393"/>
      <c r="G870" s="393"/>
      <c r="H870" s="393"/>
    </row>
    <row r="871" spans="1:8" ht="24.75" hidden="1" customHeight="1" x14ac:dyDescent="0.35">
      <c r="B871" s="392" t="s">
        <v>339</v>
      </c>
      <c r="C871" s="392"/>
      <c r="D871" s="392"/>
      <c r="E871" s="392"/>
      <c r="F871" s="392"/>
      <c r="G871" s="392"/>
      <c r="H871" s="392"/>
    </row>
    <row r="872" spans="1:8" hidden="1" x14ac:dyDescent="0.25">
      <c r="C872" s="73"/>
      <c r="D872" s="72"/>
      <c r="E872" s="72"/>
      <c r="F872" s="350"/>
      <c r="G872" s="289"/>
      <c r="H872" s="290"/>
    </row>
    <row r="873" spans="1:8" ht="15.75" hidden="1" customHeight="1" x14ac:dyDescent="0.25">
      <c r="A873" s="406" t="s">
        <v>239</v>
      </c>
      <c r="B873" s="395" t="s">
        <v>240</v>
      </c>
      <c r="C873" s="402" t="s">
        <v>322</v>
      </c>
      <c r="D873" s="391" t="s">
        <v>238</v>
      </c>
      <c r="E873" s="395" t="s">
        <v>301</v>
      </c>
      <c r="F873" s="391" t="s">
        <v>302</v>
      </c>
      <c r="G873" s="394" t="s">
        <v>307</v>
      </c>
      <c r="H873" s="266" t="s">
        <v>254</v>
      </c>
    </row>
    <row r="874" spans="1:8" ht="165" hidden="1" customHeight="1" x14ac:dyDescent="0.25">
      <c r="A874" s="398"/>
      <c r="B874" s="398"/>
      <c r="C874" s="403"/>
      <c r="D874" s="391"/>
      <c r="E874" s="396"/>
      <c r="F874" s="391"/>
      <c r="G874" s="394"/>
      <c r="H874" s="267" t="s">
        <v>308</v>
      </c>
    </row>
    <row r="875" spans="1:8" ht="18.75" hidden="1" x14ac:dyDescent="0.25">
      <c r="A875" s="213">
        <v>31</v>
      </c>
      <c r="B875" s="213"/>
      <c r="C875" s="213"/>
      <c r="D875" s="310" t="s">
        <v>338</v>
      </c>
      <c r="E875" s="82"/>
      <c r="F875" s="120">
        <f t="shared" ref="F875:G876" si="149">F876</f>
        <v>0</v>
      </c>
      <c r="G875" s="33">
        <f t="shared" si="149"/>
        <v>0</v>
      </c>
      <c r="H875" s="33" t="e">
        <f>#REF!-G875</f>
        <v>#REF!</v>
      </c>
    </row>
    <row r="876" spans="1:8" ht="18.75" hidden="1" x14ac:dyDescent="0.25">
      <c r="A876" s="315" t="s">
        <v>335</v>
      </c>
      <c r="B876" s="188">
        <v>7363</v>
      </c>
      <c r="C876" s="213"/>
      <c r="D876" s="284"/>
      <c r="E876" s="316"/>
      <c r="F876" s="120">
        <f t="shared" si="149"/>
        <v>0</v>
      </c>
      <c r="G876" s="33">
        <f>G877</f>
        <v>0</v>
      </c>
      <c r="H876" s="33" t="e">
        <f>H877</f>
        <v>#REF!</v>
      </c>
    </row>
    <row r="877" spans="1:8" ht="15.75" hidden="1" x14ac:dyDescent="0.25">
      <c r="A877" s="147"/>
      <c r="B877" s="147"/>
      <c r="C877" s="171">
        <v>3132</v>
      </c>
      <c r="D877" s="270" t="s">
        <v>253</v>
      </c>
      <c r="E877" s="120"/>
      <c r="F877" s="120">
        <f>F878+F879</f>
        <v>0</v>
      </c>
      <c r="G877" s="33">
        <f>G878+G879</f>
        <v>0</v>
      </c>
      <c r="H877" s="33" t="e">
        <f>H878+H879</f>
        <v>#REF!</v>
      </c>
    </row>
    <row r="878" spans="1:8" ht="22.5" hidden="1" x14ac:dyDescent="0.3">
      <c r="A878" s="318"/>
      <c r="B878" s="319"/>
      <c r="C878" s="319"/>
      <c r="D878" s="125"/>
      <c r="E878" s="126"/>
      <c r="F878" s="126"/>
      <c r="G878" s="34"/>
      <c r="H878" s="34" t="e">
        <f>#REF!-G878</f>
        <v>#REF!</v>
      </c>
    </row>
    <row r="879" spans="1:8" ht="33.75" hidden="1" customHeight="1" x14ac:dyDescent="0.3">
      <c r="A879" s="318"/>
      <c r="B879" s="319"/>
      <c r="C879" s="319"/>
      <c r="D879" s="125"/>
      <c r="E879" s="126"/>
      <c r="F879" s="126"/>
      <c r="G879" s="34"/>
      <c r="H879" s="34" t="e">
        <f>#REF!-G879</f>
        <v>#REF!</v>
      </c>
    </row>
    <row r="880" spans="1:8" ht="27" hidden="1" customHeight="1" x14ac:dyDescent="0.3">
      <c r="A880" s="320"/>
      <c r="B880" s="321"/>
      <c r="C880" s="321"/>
      <c r="D880" s="214" t="s">
        <v>337</v>
      </c>
      <c r="E880" s="168"/>
      <c r="F880" s="167">
        <f>F875</f>
        <v>0</v>
      </c>
      <c r="G880" s="168">
        <f>G875</f>
        <v>0</v>
      </c>
      <c r="H880" s="168" t="e">
        <f>H875</f>
        <v>#REF!</v>
      </c>
    </row>
    <row r="881" spans="1:8" ht="26.25" hidden="1" customHeight="1" x14ac:dyDescent="0.25">
      <c r="C881" s="73"/>
      <c r="D881" s="72"/>
      <c r="E881" s="72"/>
      <c r="F881" s="350"/>
      <c r="G881" s="289"/>
      <c r="H881" s="290"/>
    </row>
    <row r="882" spans="1:8" ht="22.5" hidden="1" customHeight="1" x14ac:dyDescent="0.25">
      <c r="C882" s="73"/>
      <c r="D882" s="72"/>
      <c r="E882" s="72"/>
      <c r="F882" s="350"/>
      <c r="G882" s="289"/>
      <c r="H882" s="290"/>
    </row>
    <row r="883" spans="1:8" ht="22.5" customHeight="1" x14ac:dyDescent="0.25">
      <c r="C883" s="73"/>
      <c r="D883" s="72"/>
      <c r="E883" s="72"/>
      <c r="F883" s="350"/>
      <c r="G883" s="289"/>
      <c r="H883" s="290"/>
    </row>
    <row r="884" spans="1:8" ht="22.5" customHeight="1" x14ac:dyDescent="0.25">
      <c r="C884" s="73"/>
      <c r="D884" s="72"/>
      <c r="E884" s="72"/>
      <c r="F884" s="350"/>
      <c r="G884" s="289"/>
      <c r="H884" s="290"/>
    </row>
    <row r="885" spans="1:8" ht="39.75" customHeight="1" x14ac:dyDescent="0.25">
      <c r="C885" s="73"/>
      <c r="D885" s="397" t="s">
        <v>516</v>
      </c>
      <c r="E885" s="397"/>
      <c r="F885" s="397"/>
      <c r="G885" s="397"/>
      <c r="H885" s="290"/>
    </row>
    <row r="886" spans="1:8" ht="22.5" customHeight="1" x14ac:dyDescent="0.25">
      <c r="C886" s="73"/>
      <c r="D886" s="397"/>
      <c r="E886" s="397"/>
      <c r="F886" s="397"/>
      <c r="G886" s="397"/>
      <c r="H886" s="290"/>
    </row>
    <row r="887" spans="1:8" ht="22.5" customHeight="1" x14ac:dyDescent="0.25">
      <c r="C887" s="73"/>
      <c r="D887" s="72"/>
      <c r="E887" s="72"/>
      <c r="F887" s="350"/>
      <c r="G887" s="289"/>
      <c r="H887" s="290"/>
    </row>
    <row r="888" spans="1:8" ht="22.5" customHeight="1" x14ac:dyDescent="0.25">
      <c r="A888" s="431" t="s">
        <v>239</v>
      </c>
      <c r="B888" s="391" t="s">
        <v>240</v>
      </c>
      <c r="C888" s="432" t="s">
        <v>322</v>
      </c>
      <c r="D888" s="391" t="s">
        <v>238</v>
      </c>
      <c r="E888" s="391" t="s">
        <v>305</v>
      </c>
      <c r="F888" s="391" t="s">
        <v>306</v>
      </c>
      <c r="G888" s="394" t="s">
        <v>507</v>
      </c>
      <c r="H888" s="420" t="s">
        <v>508</v>
      </c>
    </row>
    <row r="889" spans="1:8" ht="170.25" customHeight="1" x14ac:dyDescent="0.25">
      <c r="A889" s="401"/>
      <c r="B889" s="401"/>
      <c r="C889" s="432"/>
      <c r="D889" s="391"/>
      <c r="E889" s="391"/>
      <c r="F889" s="391"/>
      <c r="G889" s="394"/>
      <c r="H889" s="421"/>
    </row>
    <row r="890" spans="1:8" ht="22.5" customHeight="1" x14ac:dyDescent="0.25">
      <c r="A890" s="213" t="s">
        <v>334</v>
      </c>
      <c r="B890" s="213"/>
      <c r="C890" s="213"/>
      <c r="D890" s="310" t="s">
        <v>351</v>
      </c>
      <c r="E890" s="82"/>
      <c r="F890" s="41">
        <f t="shared" ref="F890:G891" si="150">F891</f>
        <v>12000000</v>
      </c>
      <c r="G890" s="40">
        <f t="shared" si="150"/>
        <v>8346878.7999999998</v>
      </c>
      <c r="H890" s="42">
        <f>G890/F890*100</f>
        <v>69.557323333333329</v>
      </c>
    </row>
    <row r="891" spans="1:8" ht="22.5" customHeight="1" x14ac:dyDescent="0.25">
      <c r="A891" s="315">
        <v>3117380</v>
      </c>
      <c r="B891" s="188">
        <v>7380</v>
      </c>
      <c r="C891" s="213"/>
      <c r="D891" s="284"/>
      <c r="E891" s="316"/>
      <c r="F891" s="41">
        <f>F892</f>
        <v>12000000</v>
      </c>
      <c r="G891" s="40">
        <f t="shared" si="150"/>
        <v>8346878.7999999998</v>
      </c>
      <c r="H891" s="42">
        <f t="shared" ref="H891:H895" si="151">G891/F891*100</f>
        <v>69.557323333333329</v>
      </c>
    </row>
    <row r="892" spans="1:8" ht="22.5" customHeight="1" x14ac:dyDescent="0.25">
      <c r="A892" s="291"/>
      <c r="B892" s="291"/>
      <c r="C892" s="317"/>
      <c r="D892" s="270" t="s">
        <v>253</v>
      </c>
      <c r="E892" s="120"/>
      <c r="F892" s="120">
        <f>SUM(F893)</f>
        <v>12000000</v>
      </c>
      <c r="G892" s="33">
        <f>SUM(G893)</f>
        <v>8346878.7999999998</v>
      </c>
      <c r="H892" s="42">
        <f t="shared" si="151"/>
        <v>69.557323333333329</v>
      </c>
    </row>
    <row r="893" spans="1:8" ht="35.25" customHeight="1" x14ac:dyDescent="0.25">
      <c r="A893" s="291"/>
      <c r="B893" s="291"/>
      <c r="C893" s="317"/>
      <c r="D893" s="35" t="s">
        <v>471</v>
      </c>
      <c r="E893" s="120"/>
      <c r="F893" s="126">
        <f>12000000</f>
        <v>12000000</v>
      </c>
      <c r="G893" s="34">
        <f>5057523.6+73615.59+3189355.2+26384.41</f>
        <v>8346878.7999999998</v>
      </c>
      <c r="H893" s="42">
        <f t="shared" si="151"/>
        <v>69.557323333333329</v>
      </c>
    </row>
    <row r="894" spans="1:8" ht="22.5" customHeight="1" x14ac:dyDescent="0.25">
      <c r="A894" s="285"/>
      <c r="B894" s="285"/>
      <c r="C894" s="286"/>
      <c r="D894" s="285"/>
      <c r="E894" s="285"/>
      <c r="F894" s="384"/>
      <c r="G894" s="322"/>
      <c r="H894" s="42"/>
    </row>
    <row r="895" spans="1:8" ht="22.5" customHeight="1" x14ac:dyDescent="0.25">
      <c r="A895" s="269"/>
      <c r="B895" s="272"/>
      <c r="C895" s="272"/>
      <c r="D895" s="214" t="s">
        <v>337</v>
      </c>
      <c r="E895" s="168">
        <f>E876</f>
        <v>0</v>
      </c>
      <c r="F895" s="167">
        <f>F890</f>
        <v>12000000</v>
      </c>
      <c r="G895" s="168">
        <f>G890</f>
        <v>8346878.7999999998</v>
      </c>
      <c r="H895" s="42">
        <f t="shared" si="151"/>
        <v>69.557323333333329</v>
      </c>
    </row>
    <row r="896" spans="1:8" ht="22.5" customHeight="1" x14ac:dyDescent="0.25">
      <c r="C896" s="73"/>
      <c r="D896" s="72"/>
      <c r="E896" s="72"/>
      <c r="F896" s="350"/>
      <c r="G896" s="289"/>
      <c r="H896" s="290"/>
    </row>
    <row r="897" spans="1:8" ht="12" customHeight="1" x14ac:dyDescent="0.25">
      <c r="C897" s="73"/>
      <c r="D897" s="72"/>
      <c r="E897" s="72"/>
      <c r="F897" s="350"/>
      <c r="G897" s="289"/>
      <c r="H897" s="290"/>
    </row>
    <row r="898" spans="1:8" ht="21.75" customHeight="1" x14ac:dyDescent="0.25">
      <c r="C898" s="73"/>
      <c r="D898" s="72"/>
      <c r="E898" s="72"/>
      <c r="F898" s="350"/>
      <c r="G898" s="289"/>
      <c r="H898" s="290"/>
    </row>
    <row r="899" spans="1:8" ht="39" customHeight="1" x14ac:dyDescent="0.25">
      <c r="C899" s="73"/>
      <c r="D899" s="397" t="s">
        <v>519</v>
      </c>
      <c r="E899" s="397"/>
      <c r="F899" s="397"/>
      <c r="G899" s="397"/>
      <c r="H899" s="290"/>
    </row>
    <row r="900" spans="1:8" ht="22.5" customHeight="1" x14ac:dyDescent="0.25">
      <c r="C900" s="73"/>
      <c r="D900" s="397"/>
      <c r="E900" s="397"/>
      <c r="F900" s="397"/>
      <c r="G900" s="397"/>
      <c r="H900" s="290"/>
    </row>
    <row r="901" spans="1:8" ht="22.5" customHeight="1" x14ac:dyDescent="0.25">
      <c r="C901" s="73"/>
      <c r="D901" s="72"/>
      <c r="E901" s="72"/>
      <c r="F901" s="350"/>
      <c r="G901" s="289"/>
      <c r="H901" s="290"/>
    </row>
    <row r="902" spans="1:8" ht="22.5" customHeight="1" x14ac:dyDescent="0.25">
      <c r="A902" s="431" t="s">
        <v>239</v>
      </c>
      <c r="B902" s="391" t="s">
        <v>240</v>
      </c>
      <c r="C902" s="432" t="s">
        <v>322</v>
      </c>
      <c r="D902" s="391" t="s">
        <v>238</v>
      </c>
      <c r="E902" s="391" t="s">
        <v>305</v>
      </c>
      <c r="F902" s="391" t="s">
        <v>306</v>
      </c>
      <c r="G902" s="394" t="s">
        <v>507</v>
      </c>
      <c r="H902" s="420" t="s">
        <v>508</v>
      </c>
    </row>
    <row r="903" spans="1:8" ht="184.5" customHeight="1" x14ac:dyDescent="0.25">
      <c r="A903" s="401"/>
      <c r="B903" s="401"/>
      <c r="C903" s="432"/>
      <c r="D903" s="391"/>
      <c r="E903" s="391"/>
      <c r="F903" s="391"/>
      <c r="G903" s="394"/>
      <c r="H903" s="421"/>
    </row>
    <row r="904" spans="1:8" ht="22.5" customHeight="1" x14ac:dyDescent="0.25">
      <c r="A904" s="213" t="s">
        <v>334</v>
      </c>
      <c r="B904" s="213"/>
      <c r="C904" s="213"/>
      <c r="D904" s="310" t="s">
        <v>351</v>
      </c>
      <c r="E904" s="82"/>
      <c r="F904" s="41">
        <f>F905</f>
        <v>694000</v>
      </c>
      <c r="G904" s="40">
        <f t="shared" ref="G904:G905" si="152">G905</f>
        <v>694000</v>
      </c>
      <c r="H904" s="42">
        <f>G904/F904*100</f>
        <v>100</v>
      </c>
    </row>
    <row r="905" spans="1:8" ht="22.5" customHeight="1" x14ac:dyDescent="0.25">
      <c r="A905" s="315">
        <v>3116030</v>
      </c>
      <c r="B905" s="188">
        <v>6030</v>
      </c>
      <c r="C905" s="213"/>
      <c r="D905" s="284"/>
      <c r="E905" s="316"/>
      <c r="F905" s="41">
        <f>F906</f>
        <v>694000</v>
      </c>
      <c r="G905" s="40">
        <f t="shared" si="152"/>
        <v>694000</v>
      </c>
      <c r="H905" s="42">
        <f t="shared" ref="H905:H909" si="153">G905/F905*100</f>
        <v>100</v>
      </c>
    </row>
    <row r="906" spans="1:8" ht="22.5" customHeight="1" x14ac:dyDescent="0.25">
      <c r="A906" s="291"/>
      <c r="B906" s="291"/>
      <c r="C906" s="317"/>
      <c r="D906" s="270" t="s">
        <v>290</v>
      </c>
      <c r="E906" s="120"/>
      <c r="F906" s="120">
        <f>SUM(F907)</f>
        <v>694000</v>
      </c>
      <c r="G906" s="33">
        <f>SUM(G907)</f>
        <v>694000</v>
      </c>
      <c r="H906" s="42">
        <f t="shared" si="153"/>
        <v>100</v>
      </c>
    </row>
    <row r="907" spans="1:8" ht="27.75" customHeight="1" x14ac:dyDescent="0.25">
      <c r="A907" s="291"/>
      <c r="B907" s="291"/>
      <c r="C907" s="317"/>
      <c r="D907" s="35" t="s">
        <v>505</v>
      </c>
      <c r="E907" s="120"/>
      <c r="F907" s="126">
        <f>694000</f>
        <v>694000</v>
      </c>
      <c r="G907" s="34">
        <v>694000</v>
      </c>
      <c r="H907" s="42">
        <f t="shared" si="153"/>
        <v>100</v>
      </c>
    </row>
    <row r="908" spans="1:8" ht="22.5" customHeight="1" x14ac:dyDescent="0.25">
      <c r="A908" s="285"/>
      <c r="B908" s="285"/>
      <c r="C908" s="286"/>
      <c r="D908" s="285"/>
      <c r="E908" s="285"/>
      <c r="F908" s="384"/>
      <c r="G908" s="322"/>
      <c r="H908" s="42"/>
    </row>
    <row r="909" spans="1:8" ht="22.5" customHeight="1" x14ac:dyDescent="0.25">
      <c r="A909" s="269"/>
      <c r="B909" s="272"/>
      <c r="C909" s="272"/>
      <c r="D909" s="214" t="s">
        <v>337</v>
      </c>
      <c r="E909" s="168">
        <f>E889</f>
        <v>0</v>
      </c>
      <c r="F909" s="167">
        <f>F904</f>
        <v>694000</v>
      </c>
      <c r="G909" s="168">
        <f t="shared" ref="G909" si="154">G904</f>
        <v>694000</v>
      </c>
      <c r="H909" s="42">
        <f t="shared" si="153"/>
        <v>100</v>
      </c>
    </row>
    <row r="910" spans="1:8" ht="22.5" customHeight="1" x14ac:dyDescent="0.25">
      <c r="A910" s="68"/>
      <c r="B910" s="69"/>
      <c r="C910" s="69"/>
      <c r="D910" s="70"/>
      <c r="E910" s="71"/>
      <c r="F910" s="383"/>
      <c r="G910" s="71"/>
      <c r="H910" s="71"/>
    </row>
    <row r="911" spans="1:8" ht="22.5" customHeight="1" x14ac:dyDescent="0.25">
      <c r="A911" s="68"/>
      <c r="B911" s="69"/>
      <c r="C911" s="69"/>
      <c r="D911" s="70"/>
      <c r="E911" s="71"/>
      <c r="F911" s="383"/>
      <c r="G911" s="71"/>
      <c r="H911" s="71"/>
    </row>
    <row r="912" spans="1:8" ht="39.75" customHeight="1" x14ac:dyDescent="0.25">
      <c r="C912" s="73"/>
      <c r="D912" s="397" t="s">
        <v>515</v>
      </c>
      <c r="E912" s="397"/>
      <c r="F912" s="397"/>
      <c r="G912" s="397"/>
      <c r="H912" s="290"/>
    </row>
    <row r="913" spans="1:8" ht="22.5" customHeight="1" x14ac:dyDescent="0.25">
      <c r="C913" s="73"/>
      <c r="D913" s="397"/>
      <c r="E913" s="397"/>
      <c r="F913" s="397"/>
      <c r="G913" s="397"/>
      <c r="H913" s="290"/>
    </row>
    <row r="914" spans="1:8" ht="22.5" customHeight="1" x14ac:dyDescent="0.25">
      <c r="C914" s="73"/>
      <c r="D914" s="72"/>
      <c r="E914" s="72"/>
      <c r="F914" s="350"/>
      <c r="G914" s="289"/>
      <c r="H914" s="290"/>
    </row>
    <row r="915" spans="1:8" ht="22.5" customHeight="1" x14ac:dyDescent="0.25">
      <c r="A915" s="431" t="s">
        <v>239</v>
      </c>
      <c r="B915" s="391" t="s">
        <v>240</v>
      </c>
      <c r="C915" s="432" t="s">
        <v>322</v>
      </c>
      <c r="D915" s="391" t="s">
        <v>238</v>
      </c>
      <c r="E915" s="391" t="s">
        <v>305</v>
      </c>
      <c r="F915" s="391" t="s">
        <v>306</v>
      </c>
      <c r="G915" s="394" t="s">
        <v>507</v>
      </c>
      <c r="H915" s="420" t="s">
        <v>508</v>
      </c>
    </row>
    <row r="916" spans="1:8" ht="180" customHeight="1" x14ac:dyDescent="0.25">
      <c r="A916" s="401"/>
      <c r="B916" s="401"/>
      <c r="C916" s="432"/>
      <c r="D916" s="391"/>
      <c r="E916" s="391"/>
      <c r="F916" s="391"/>
      <c r="G916" s="394"/>
      <c r="H916" s="421"/>
    </row>
    <row r="917" spans="1:8" ht="22.5" customHeight="1" x14ac:dyDescent="0.25">
      <c r="A917" s="213" t="s">
        <v>334</v>
      </c>
      <c r="B917" s="213"/>
      <c r="C917" s="213"/>
      <c r="D917" s="310" t="s">
        <v>351</v>
      </c>
      <c r="E917" s="82"/>
      <c r="F917" s="41">
        <f t="shared" ref="F917:G918" si="155">F918</f>
        <v>1293970</v>
      </c>
      <c r="G917" s="40">
        <f t="shared" si="155"/>
        <v>0</v>
      </c>
      <c r="H917" s="42">
        <f>G917/F917*100</f>
        <v>0</v>
      </c>
    </row>
    <row r="918" spans="1:8" ht="22.5" customHeight="1" x14ac:dyDescent="0.25">
      <c r="A918" s="315">
        <v>3116030</v>
      </c>
      <c r="B918" s="188">
        <v>6030</v>
      </c>
      <c r="C918" s="213"/>
      <c r="D918" s="284"/>
      <c r="E918" s="316"/>
      <c r="F918" s="41">
        <f>F919</f>
        <v>1293970</v>
      </c>
      <c r="G918" s="40">
        <f t="shared" si="155"/>
        <v>0</v>
      </c>
      <c r="H918" s="42">
        <f t="shared" ref="H918:H922" si="156">G918/F918*100</f>
        <v>0</v>
      </c>
    </row>
    <row r="919" spans="1:8" ht="22.5" customHeight="1" x14ac:dyDescent="0.25">
      <c r="A919" s="291"/>
      <c r="B919" s="291"/>
      <c r="C919" s="317"/>
      <c r="D919" s="270" t="s">
        <v>290</v>
      </c>
      <c r="E919" s="120"/>
      <c r="F919" s="120">
        <f>SUM(F920)</f>
        <v>1293970</v>
      </c>
      <c r="G919" s="33">
        <f>SUM(G920)</f>
        <v>0</v>
      </c>
      <c r="H919" s="42">
        <f t="shared" si="156"/>
        <v>0</v>
      </c>
    </row>
    <row r="920" spans="1:8" ht="22.5" customHeight="1" x14ac:dyDescent="0.25">
      <c r="A920" s="291"/>
      <c r="B920" s="291"/>
      <c r="C920" s="317"/>
      <c r="D920" s="35" t="s">
        <v>505</v>
      </c>
      <c r="E920" s="120"/>
      <c r="F920" s="126">
        <f>1293970</f>
        <v>1293970</v>
      </c>
      <c r="G920" s="34"/>
      <c r="H920" s="42">
        <f t="shared" si="156"/>
        <v>0</v>
      </c>
    </row>
    <row r="921" spans="1:8" ht="22.5" customHeight="1" x14ac:dyDescent="0.25">
      <c r="A921" s="285"/>
      <c r="B921" s="285"/>
      <c r="C921" s="286"/>
      <c r="D921" s="285"/>
      <c r="E921" s="285"/>
      <c r="F921" s="384"/>
      <c r="G921" s="322"/>
      <c r="H921" s="42"/>
    </row>
    <row r="922" spans="1:8" ht="22.5" customHeight="1" x14ac:dyDescent="0.25">
      <c r="A922" s="269"/>
      <c r="B922" s="272"/>
      <c r="C922" s="272"/>
      <c r="D922" s="214" t="s">
        <v>337</v>
      </c>
      <c r="E922" s="168">
        <f t="shared" ref="E922:G922" si="157">E917</f>
        <v>0</v>
      </c>
      <c r="F922" s="167">
        <f t="shared" si="157"/>
        <v>1293970</v>
      </c>
      <c r="G922" s="168">
        <f t="shared" si="157"/>
        <v>0</v>
      </c>
      <c r="H922" s="42">
        <f t="shared" si="156"/>
        <v>0</v>
      </c>
    </row>
    <row r="923" spans="1:8" ht="22.5" customHeight="1" x14ac:dyDescent="0.25">
      <c r="A923" s="68"/>
      <c r="B923" s="69"/>
      <c r="C923" s="69"/>
      <c r="D923" s="70"/>
      <c r="E923" s="71"/>
      <c r="F923" s="383"/>
      <c r="G923" s="71"/>
      <c r="H923" s="71"/>
    </row>
    <row r="924" spans="1:8" ht="27" customHeight="1" x14ac:dyDescent="0.25">
      <c r="C924" s="73"/>
      <c r="D924" s="399" t="s">
        <v>514</v>
      </c>
      <c r="E924" s="399"/>
      <c r="F924" s="399"/>
      <c r="G924" s="399"/>
      <c r="H924" s="290"/>
    </row>
    <row r="925" spans="1:8" ht="27" customHeight="1" x14ac:dyDescent="0.25">
      <c r="C925" s="73"/>
      <c r="D925" s="399"/>
      <c r="E925" s="399"/>
      <c r="F925" s="399"/>
      <c r="G925" s="399"/>
      <c r="H925" s="290"/>
    </row>
    <row r="926" spans="1:8" ht="27" customHeight="1" x14ac:dyDescent="0.25">
      <c r="C926" s="73"/>
      <c r="D926" s="399"/>
      <c r="E926" s="399"/>
      <c r="F926" s="399"/>
      <c r="G926" s="399"/>
      <c r="H926" s="290"/>
    </row>
    <row r="927" spans="1:8" ht="31.5" customHeight="1" x14ac:dyDescent="0.25">
      <c r="C927" s="73"/>
      <c r="D927" s="72"/>
      <c r="E927" s="72"/>
      <c r="F927" s="350"/>
      <c r="G927" s="289"/>
      <c r="H927" s="290"/>
    </row>
    <row r="928" spans="1:8" ht="15.75" customHeight="1" x14ac:dyDescent="0.25">
      <c r="A928" s="406" t="s">
        <v>239</v>
      </c>
      <c r="B928" s="395" t="s">
        <v>240</v>
      </c>
      <c r="C928" s="402" t="s">
        <v>322</v>
      </c>
      <c r="D928" s="395" t="s">
        <v>238</v>
      </c>
      <c r="E928" s="395" t="s">
        <v>305</v>
      </c>
      <c r="F928" s="395" t="s">
        <v>306</v>
      </c>
      <c r="G928" s="394" t="s">
        <v>507</v>
      </c>
      <c r="H928" s="420" t="s">
        <v>508</v>
      </c>
    </row>
    <row r="929" spans="1:8" ht="170.25" customHeight="1" x14ac:dyDescent="0.25">
      <c r="A929" s="433"/>
      <c r="B929" s="396"/>
      <c r="C929" s="403"/>
      <c r="D929" s="396"/>
      <c r="E929" s="396"/>
      <c r="F929" s="396"/>
      <c r="G929" s="394"/>
      <c r="H929" s="421"/>
    </row>
    <row r="930" spans="1:8" ht="18.75" customHeight="1" x14ac:dyDescent="0.25">
      <c r="A930" s="188" t="s">
        <v>323</v>
      </c>
      <c r="B930" s="309"/>
      <c r="C930" s="309"/>
      <c r="D930" s="310" t="s">
        <v>237</v>
      </c>
      <c r="E930" s="82"/>
      <c r="F930" s="41">
        <f t="shared" ref="F930:G934" si="158">F931</f>
        <v>1693700</v>
      </c>
      <c r="G930" s="40">
        <f t="shared" si="158"/>
        <v>664435.31999999995</v>
      </c>
      <c r="H930" s="42">
        <f>G930/F930*100</f>
        <v>39.229811654956606</v>
      </c>
    </row>
    <row r="931" spans="1:8" ht="18.75" customHeight="1" x14ac:dyDescent="0.25">
      <c r="A931" s="188" t="s">
        <v>329</v>
      </c>
      <c r="B931" s="188">
        <v>7363</v>
      </c>
      <c r="C931" s="188"/>
      <c r="D931" s="125"/>
      <c r="E931" s="126"/>
      <c r="F931" s="41">
        <f>F932+F934</f>
        <v>1693700</v>
      </c>
      <c r="G931" s="40">
        <f>G932+G934</f>
        <v>664435.31999999995</v>
      </c>
      <c r="H931" s="42">
        <f t="shared" ref="H931:H949" si="159">G931/F931*100</f>
        <v>39.229811654956606</v>
      </c>
    </row>
    <row r="932" spans="1:8" ht="33" hidden="1" customHeight="1" x14ac:dyDescent="0.25">
      <c r="A932" s="269"/>
      <c r="B932" s="268"/>
      <c r="C932" s="268"/>
      <c r="D932" s="270" t="s">
        <v>252</v>
      </c>
      <c r="E932" s="120"/>
      <c r="F932" s="41">
        <f t="shared" si="158"/>
        <v>0</v>
      </c>
      <c r="G932" s="40">
        <f t="shared" si="158"/>
        <v>0</v>
      </c>
      <c r="H932" s="42" t="e">
        <f t="shared" si="159"/>
        <v>#DIV/0!</v>
      </c>
    </row>
    <row r="933" spans="1:8" ht="54.75" hidden="1" customHeight="1" x14ac:dyDescent="0.25">
      <c r="A933" s="188"/>
      <c r="B933" s="188"/>
      <c r="C933" s="188"/>
      <c r="D933" s="324"/>
      <c r="E933" s="126"/>
      <c r="F933" s="43"/>
      <c r="G933" s="40"/>
      <c r="H933" s="42" t="e">
        <f t="shared" si="159"/>
        <v>#DIV/0!</v>
      </c>
    </row>
    <row r="934" spans="1:8" ht="15.75" customHeight="1" x14ac:dyDescent="0.25">
      <c r="A934" s="269"/>
      <c r="B934" s="268"/>
      <c r="C934" s="268"/>
      <c r="D934" s="270" t="s">
        <v>266</v>
      </c>
      <c r="E934" s="120"/>
      <c r="F934" s="41">
        <f t="shared" si="158"/>
        <v>1693700</v>
      </c>
      <c r="G934" s="40">
        <f t="shared" si="158"/>
        <v>664435.31999999995</v>
      </c>
      <c r="H934" s="42">
        <f t="shared" si="159"/>
        <v>39.229811654956606</v>
      </c>
    </row>
    <row r="935" spans="1:8" ht="36" customHeight="1" x14ac:dyDescent="0.25">
      <c r="A935" s="298"/>
      <c r="B935" s="126"/>
      <c r="C935" s="311"/>
      <c r="D935" s="35" t="s">
        <v>472</v>
      </c>
      <c r="E935" s="122"/>
      <c r="F935" s="126">
        <f>1693700</f>
        <v>1693700</v>
      </c>
      <c r="G935" s="34">
        <f>664435.32+9941.61-9941.61</f>
        <v>664435.31999999995</v>
      </c>
      <c r="H935" s="42">
        <f t="shared" si="159"/>
        <v>39.229811654956606</v>
      </c>
    </row>
    <row r="936" spans="1:8" ht="30" hidden="1" customHeight="1" x14ac:dyDescent="0.25">
      <c r="A936" s="231" t="s">
        <v>332</v>
      </c>
      <c r="B936" s="268"/>
      <c r="C936" s="268"/>
      <c r="D936" s="107" t="s">
        <v>251</v>
      </c>
      <c r="E936" s="40"/>
      <c r="F936" s="41">
        <f t="shared" ref="F936:G937" si="160">F937</f>
        <v>0</v>
      </c>
      <c r="G936" s="40">
        <f t="shared" si="160"/>
        <v>0</v>
      </c>
      <c r="H936" s="42" t="e">
        <f t="shared" si="159"/>
        <v>#DIV/0!</v>
      </c>
    </row>
    <row r="937" spans="1:8" ht="22.5" hidden="1" customHeight="1" x14ac:dyDescent="0.25">
      <c r="A937" s="57" t="s">
        <v>333</v>
      </c>
      <c r="B937" s="142">
        <v>7363</v>
      </c>
      <c r="C937" s="268"/>
      <c r="D937" s="107"/>
      <c r="E937" s="40"/>
      <c r="F937" s="41">
        <f t="shared" si="160"/>
        <v>0</v>
      </c>
      <c r="G937" s="40">
        <f t="shared" si="160"/>
        <v>0</v>
      </c>
      <c r="H937" s="42" t="e">
        <f t="shared" si="159"/>
        <v>#DIV/0!</v>
      </c>
    </row>
    <row r="938" spans="1:8" ht="21.75" hidden="1" customHeight="1" x14ac:dyDescent="0.25">
      <c r="A938" s="269"/>
      <c r="B938" s="268"/>
      <c r="C938" s="268"/>
      <c r="D938" s="270" t="s">
        <v>253</v>
      </c>
      <c r="E938" s="120"/>
      <c r="F938" s="41">
        <f>SUM(F939:F940)</f>
        <v>0</v>
      </c>
      <c r="G938" s="40">
        <f>SUM(G939:G940)</f>
        <v>0</v>
      </c>
      <c r="H938" s="42" t="e">
        <f t="shared" si="159"/>
        <v>#DIV/0!</v>
      </c>
    </row>
    <row r="939" spans="1:8" ht="53.25" hidden="1" customHeight="1" x14ac:dyDescent="0.25">
      <c r="A939" s="269"/>
      <c r="B939" s="268"/>
      <c r="C939" s="268"/>
      <c r="D939" s="313"/>
      <c r="E939" s="34"/>
      <c r="F939" s="126"/>
      <c r="G939" s="34"/>
      <c r="H939" s="42" t="e">
        <f t="shared" si="159"/>
        <v>#DIV/0!</v>
      </c>
    </row>
    <row r="940" spans="1:8" ht="18.75" hidden="1" x14ac:dyDescent="0.25">
      <c r="A940" s="269"/>
      <c r="B940" s="268"/>
      <c r="C940" s="268"/>
      <c r="D940" s="52"/>
      <c r="E940" s="285"/>
      <c r="F940" s="126"/>
      <c r="G940" s="34"/>
      <c r="H940" s="42" t="e">
        <f t="shared" si="159"/>
        <v>#DIV/0!</v>
      </c>
    </row>
    <row r="941" spans="1:8" ht="18.75" x14ac:dyDescent="0.25">
      <c r="A941" s="269"/>
      <c r="B941" s="268"/>
      <c r="C941" s="268"/>
      <c r="D941" s="52"/>
      <c r="E941" s="285"/>
      <c r="F941" s="126"/>
      <c r="G941" s="34"/>
      <c r="H941" s="42"/>
    </row>
    <row r="942" spans="1:8" ht="18.75" x14ac:dyDescent="0.25">
      <c r="A942" s="213" t="s">
        <v>334</v>
      </c>
      <c r="B942" s="213"/>
      <c r="C942" s="213"/>
      <c r="D942" s="310" t="s">
        <v>351</v>
      </c>
      <c r="E942" s="82"/>
      <c r="F942" s="41">
        <f t="shared" ref="F942:G943" si="161">F943</f>
        <v>16500000</v>
      </c>
      <c r="G942" s="40">
        <f t="shared" si="161"/>
        <v>16313251.439999999</v>
      </c>
      <c r="H942" s="42">
        <f t="shared" si="159"/>
        <v>98.868190545454539</v>
      </c>
    </row>
    <row r="943" spans="1:8" ht="18.75" x14ac:dyDescent="0.25">
      <c r="A943" s="315" t="s">
        <v>335</v>
      </c>
      <c r="B943" s="188">
        <v>7363</v>
      </c>
      <c r="C943" s="213"/>
      <c r="D943" s="284"/>
      <c r="E943" s="316"/>
      <c r="F943" s="41">
        <f>F944</f>
        <v>16500000</v>
      </c>
      <c r="G943" s="40">
        <f t="shared" si="161"/>
        <v>16313251.439999999</v>
      </c>
      <c r="H943" s="42">
        <f t="shared" si="159"/>
        <v>98.868190545454539</v>
      </c>
    </row>
    <row r="944" spans="1:8" ht="20.25" x14ac:dyDescent="0.25">
      <c r="A944" s="291"/>
      <c r="B944" s="291"/>
      <c r="C944" s="317"/>
      <c r="D944" s="270" t="s">
        <v>253</v>
      </c>
      <c r="E944" s="120"/>
      <c r="F944" s="120">
        <f>SUM(F945:F947)</f>
        <v>16500000</v>
      </c>
      <c r="G944" s="33">
        <f>SUM(G945:G947)</f>
        <v>16313251.439999999</v>
      </c>
      <c r="H944" s="42">
        <f t="shared" si="159"/>
        <v>98.868190545454539</v>
      </c>
    </row>
    <row r="945" spans="1:8" ht="31.5" x14ac:dyDescent="0.25">
      <c r="A945" s="291"/>
      <c r="B945" s="291"/>
      <c r="C945" s="317"/>
      <c r="D945" s="52" t="s">
        <v>210</v>
      </c>
      <c r="E945" s="120"/>
      <c r="F945" s="126">
        <f>10500000-2814146</f>
        <v>7685854</v>
      </c>
      <c r="G945" s="34">
        <f>1111105.2+7035.18+2172621.13+995620.39+1387105.2+8824.69+1178295.05+536973.6+3429.07+98282.41</f>
        <v>7499291.9199999999</v>
      </c>
      <c r="H945" s="42">
        <f t="shared" si="159"/>
        <v>97.572656467322943</v>
      </c>
    </row>
    <row r="946" spans="1:8" ht="31.5" x14ac:dyDescent="0.25">
      <c r="A946" s="269"/>
      <c r="B946" s="268"/>
      <c r="C946" s="325"/>
      <c r="D946" s="52" t="s">
        <v>377</v>
      </c>
      <c r="E946" s="326"/>
      <c r="F946" s="126">
        <f>2814146</f>
        <v>2814146</v>
      </c>
      <c r="G946" s="314">
        <f>254890.6+2559087.72</f>
        <v>2813978.3200000003</v>
      </c>
      <c r="H946" s="42">
        <f t="shared" si="159"/>
        <v>99.994041531604978</v>
      </c>
    </row>
    <row r="947" spans="1:8" ht="31.5" x14ac:dyDescent="0.25">
      <c r="A947" s="269"/>
      <c r="B947" s="268"/>
      <c r="C947" s="325"/>
      <c r="D947" s="52" t="s">
        <v>378</v>
      </c>
      <c r="E947" s="326"/>
      <c r="F947" s="126">
        <v>6000000</v>
      </c>
      <c r="G947" s="314">
        <f>2687476.8+11974.11+3287504.4+13025.89</f>
        <v>5999981.1999999993</v>
      </c>
      <c r="H947" s="42">
        <f t="shared" si="159"/>
        <v>99.999686666666648</v>
      </c>
    </row>
    <row r="948" spans="1:8" ht="18.75" x14ac:dyDescent="0.25">
      <c r="A948" s="298"/>
      <c r="B948" s="126"/>
      <c r="C948" s="311"/>
      <c r="D948" s="327"/>
      <c r="E948" s="122"/>
      <c r="F948" s="126"/>
      <c r="G948" s="34"/>
      <c r="H948" s="42"/>
    </row>
    <row r="949" spans="1:8" ht="21" x14ac:dyDescent="0.25">
      <c r="A949" s="269"/>
      <c r="B949" s="272"/>
      <c r="C949" s="272"/>
      <c r="D949" s="214" t="s">
        <v>337</v>
      </c>
      <c r="E949" s="168">
        <f>E930</f>
        <v>0</v>
      </c>
      <c r="F949" s="167">
        <f>F930+F936+F942</f>
        <v>18193700</v>
      </c>
      <c r="G949" s="168">
        <f>G930+G936+G942</f>
        <v>16977686.759999998</v>
      </c>
      <c r="H949" s="42">
        <f t="shared" si="159"/>
        <v>93.31629498122976</v>
      </c>
    </row>
    <row r="950" spans="1:8" ht="21" x14ac:dyDescent="0.25">
      <c r="A950" s="68"/>
      <c r="B950" s="69"/>
      <c r="C950" s="69"/>
      <c r="D950" s="70"/>
      <c r="E950" s="71"/>
      <c r="F950" s="383"/>
      <c r="G950" s="71"/>
      <c r="H950" s="71"/>
    </row>
    <row r="951" spans="1:8" ht="6" customHeight="1" x14ac:dyDescent="0.25">
      <c r="A951" s="68"/>
      <c r="B951" s="69"/>
      <c r="C951" s="69"/>
      <c r="D951" s="70"/>
      <c r="E951" s="71"/>
      <c r="F951" s="383"/>
      <c r="G951" s="71"/>
      <c r="H951" s="71"/>
    </row>
    <row r="952" spans="1:8" x14ac:dyDescent="0.25">
      <c r="C952" s="73"/>
      <c r="D952" s="72"/>
      <c r="E952" s="72"/>
      <c r="F952" s="350"/>
      <c r="G952" s="289"/>
      <c r="H952" s="290"/>
    </row>
    <row r="953" spans="1:8" x14ac:dyDescent="0.25">
      <c r="C953" s="73"/>
      <c r="D953" s="72"/>
      <c r="E953" s="72"/>
      <c r="F953" s="350"/>
      <c r="G953" s="289"/>
      <c r="H953" s="290"/>
    </row>
    <row r="954" spans="1:8" ht="45" customHeight="1" x14ac:dyDescent="0.25">
      <c r="B954" s="422" t="s">
        <v>513</v>
      </c>
      <c r="C954" s="422"/>
      <c r="D954" s="422"/>
      <c r="E954" s="422"/>
      <c r="F954" s="422"/>
      <c r="G954" s="422"/>
      <c r="H954" s="422"/>
    </row>
    <row r="955" spans="1:8" x14ac:dyDescent="0.25">
      <c r="B955" s="423"/>
      <c r="C955" s="423"/>
      <c r="D955" s="423"/>
      <c r="E955" s="423"/>
      <c r="F955" s="423"/>
      <c r="G955" s="423"/>
      <c r="H955" s="423"/>
    </row>
    <row r="956" spans="1:8" s="9" customFormat="1" x14ac:dyDescent="0.25">
      <c r="A956" s="288"/>
      <c r="B956" s="288"/>
      <c r="C956" s="73"/>
      <c r="D956" s="72"/>
      <c r="E956" s="72"/>
      <c r="F956" s="350"/>
      <c r="G956" s="289"/>
      <c r="H956" s="290"/>
    </row>
    <row r="957" spans="1:8" s="9" customFormat="1" ht="15.75" customHeight="1" x14ac:dyDescent="0.25">
      <c r="A957" s="406" t="s">
        <v>239</v>
      </c>
      <c r="B957" s="395" t="s">
        <v>240</v>
      </c>
      <c r="C957" s="402" t="s">
        <v>322</v>
      </c>
      <c r="D957" s="391" t="s">
        <v>238</v>
      </c>
      <c r="E957" s="395" t="s">
        <v>305</v>
      </c>
      <c r="F957" s="391" t="s">
        <v>306</v>
      </c>
      <c r="G957" s="394" t="s">
        <v>507</v>
      </c>
      <c r="H957" s="420" t="s">
        <v>508</v>
      </c>
    </row>
    <row r="958" spans="1:8" ht="168.75" customHeight="1" x14ac:dyDescent="0.25">
      <c r="A958" s="398"/>
      <c r="B958" s="398"/>
      <c r="C958" s="403"/>
      <c r="D958" s="391"/>
      <c r="E958" s="396"/>
      <c r="F958" s="391"/>
      <c r="G958" s="394"/>
      <c r="H958" s="421"/>
    </row>
    <row r="959" spans="1:8" ht="18.75" x14ac:dyDescent="0.25">
      <c r="A959" s="188" t="s">
        <v>323</v>
      </c>
      <c r="B959" s="309"/>
      <c r="C959" s="309"/>
      <c r="D959" s="310" t="s">
        <v>237</v>
      </c>
      <c r="E959" s="82"/>
      <c r="F959" s="41">
        <f t="shared" ref="F959:G961" si="162">F960</f>
        <v>580000</v>
      </c>
      <c r="G959" s="40">
        <f t="shared" si="162"/>
        <v>580000</v>
      </c>
      <c r="H959" s="42">
        <f>G959/F959*100</f>
        <v>100</v>
      </c>
    </row>
    <row r="960" spans="1:8" ht="24.75" customHeight="1" x14ac:dyDescent="0.25">
      <c r="A960" s="57" t="s">
        <v>434</v>
      </c>
      <c r="B960" s="188">
        <v>6082</v>
      </c>
      <c r="C960" s="188"/>
      <c r="D960" s="125"/>
      <c r="E960" s="126"/>
      <c r="F960" s="41">
        <f t="shared" si="162"/>
        <v>580000</v>
      </c>
      <c r="G960" s="40">
        <f t="shared" si="162"/>
        <v>580000</v>
      </c>
      <c r="H960" s="42">
        <f t="shared" ref="H960:H963" si="163">G960/F960*100</f>
        <v>100</v>
      </c>
    </row>
    <row r="961" spans="1:8" ht="27.75" customHeight="1" x14ac:dyDescent="0.25">
      <c r="A961" s="269"/>
      <c r="B961" s="268"/>
      <c r="C961" s="268"/>
      <c r="D961" s="270" t="s">
        <v>143</v>
      </c>
      <c r="E961" s="120"/>
      <c r="F961" s="41">
        <f t="shared" si="162"/>
        <v>580000</v>
      </c>
      <c r="G961" s="40">
        <f t="shared" si="162"/>
        <v>580000</v>
      </c>
      <c r="H961" s="42">
        <f t="shared" si="163"/>
        <v>100</v>
      </c>
    </row>
    <row r="962" spans="1:8" ht="39" customHeight="1" x14ac:dyDescent="0.25">
      <c r="A962" s="298"/>
      <c r="B962" s="126"/>
      <c r="C962" s="328"/>
      <c r="D962" s="35" t="s">
        <v>208</v>
      </c>
      <c r="E962" s="126"/>
      <c r="F962" s="126">
        <v>580000</v>
      </c>
      <c r="G962" s="266">
        <v>580000</v>
      </c>
      <c r="H962" s="42">
        <f t="shared" si="163"/>
        <v>100</v>
      </c>
    </row>
    <row r="963" spans="1:8" ht="26.25" customHeight="1" x14ac:dyDescent="0.25">
      <c r="A963" s="269"/>
      <c r="B963" s="272"/>
      <c r="C963" s="272"/>
      <c r="D963" s="214" t="s">
        <v>337</v>
      </c>
      <c r="E963" s="168"/>
      <c r="F963" s="167">
        <f>F959</f>
        <v>580000</v>
      </c>
      <c r="G963" s="168">
        <f>G959</f>
        <v>580000</v>
      </c>
      <c r="H963" s="42">
        <f t="shared" si="163"/>
        <v>100</v>
      </c>
    </row>
    <row r="964" spans="1:8" ht="27.75" customHeight="1" x14ac:dyDescent="0.3">
      <c r="A964" s="72"/>
      <c r="B964" s="262"/>
      <c r="C964" s="263"/>
      <c r="D964" s="264"/>
      <c r="E964" s="264"/>
      <c r="F964" s="347"/>
      <c r="G964" s="265"/>
      <c r="H964" s="265"/>
    </row>
    <row r="965" spans="1:8" ht="31.5" customHeight="1" x14ac:dyDescent="0.3">
      <c r="A965" s="72"/>
      <c r="B965" s="434" t="s">
        <v>512</v>
      </c>
      <c r="C965" s="427"/>
      <c r="D965" s="427"/>
      <c r="E965" s="427"/>
      <c r="F965" s="427"/>
      <c r="G965" s="427"/>
      <c r="H965" s="265"/>
    </row>
    <row r="966" spans="1:8" ht="30" customHeight="1" x14ac:dyDescent="0.3">
      <c r="A966" s="72"/>
      <c r="B966" s="427"/>
      <c r="C966" s="427"/>
      <c r="D966" s="427"/>
      <c r="E966" s="427"/>
      <c r="F966" s="427"/>
      <c r="G966" s="427"/>
      <c r="H966" s="265"/>
    </row>
    <row r="967" spans="1:8" ht="23.25" customHeight="1" x14ac:dyDescent="0.3">
      <c r="A967" s="72"/>
      <c r="B967" s="262"/>
      <c r="C967" s="263"/>
      <c r="D967" s="264"/>
      <c r="E967" s="264"/>
      <c r="F967" s="347"/>
      <c r="G967" s="265"/>
      <c r="H967" s="265"/>
    </row>
    <row r="968" spans="1:8" ht="49.5" customHeight="1" x14ac:dyDescent="0.25">
      <c r="A968" s="406" t="s">
        <v>239</v>
      </c>
      <c r="B968" s="395" t="s">
        <v>240</v>
      </c>
      <c r="C968" s="402" t="s">
        <v>322</v>
      </c>
      <c r="D968" s="391" t="s">
        <v>238</v>
      </c>
      <c r="E968" s="395" t="s">
        <v>305</v>
      </c>
      <c r="F968" s="391" t="s">
        <v>306</v>
      </c>
      <c r="G968" s="394" t="s">
        <v>507</v>
      </c>
      <c r="H968" s="420" t="s">
        <v>508</v>
      </c>
    </row>
    <row r="969" spans="1:8" ht="150.75" customHeight="1" x14ac:dyDescent="0.25">
      <c r="A969" s="398"/>
      <c r="B969" s="398"/>
      <c r="C969" s="403"/>
      <c r="D969" s="391"/>
      <c r="E969" s="396"/>
      <c r="F969" s="391"/>
      <c r="G969" s="394"/>
      <c r="H969" s="421"/>
    </row>
    <row r="970" spans="1:8" ht="27.75" customHeight="1" x14ac:dyDescent="0.25">
      <c r="A970" s="188" t="s">
        <v>323</v>
      </c>
      <c r="B970" s="309"/>
      <c r="C970" s="309"/>
      <c r="D970" s="310" t="s">
        <v>237</v>
      </c>
      <c r="E970" s="82"/>
      <c r="F970" s="41">
        <f t="shared" ref="F970:G972" si="164">F971</f>
        <v>264000</v>
      </c>
      <c r="G970" s="40">
        <f t="shared" si="164"/>
        <v>264000</v>
      </c>
      <c r="H970" s="42">
        <f>G970/F970*100</f>
        <v>100</v>
      </c>
    </row>
    <row r="971" spans="1:8" ht="30" customHeight="1" x14ac:dyDescent="0.25">
      <c r="A971" s="57" t="s">
        <v>258</v>
      </c>
      <c r="B971" s="57" t="s">
        <v>259</v>
      </c>
      <c r="C971" s="188"/>
      <c r="D971" s="125"/>
      <c r="E971" s="126"/>
      <c r="F971" s="41">
        <f t="shared" si="164"/>
        <v>264000</v>
      </c>
      <c r="G971" s="40">
        <f t="shared" si="164"/>
        <v>264000</v>
      </c>
      <c r="H971" s="42">
        <f t="shared" ref="H971:H974" si="165">G971/F971*100</f>
        <v>100</v>
      </c>
    </row>
    <row r="972" spans="1:8" ht="34.5" customHeight="1" x14ac:dyDescent="0.25">
      <c r="A972" s="269"/>
      <c r="B972" s="268"/>
      <c r="C972" s="268"/>
      <c r="D972" s="270" t="s">
        <v>252</v>
      </c>
      <c r="E972" s="120"/>
      <c r="F972" s="41">
        <f t="shared" si="164"/>
        <v>264000</v>
      </c>
      <c r="G972" s="40">
        <f t="shared" si="164"/>
        <v>264000</v>
      </c>
      <c r="H972" s="42">
        <f t="shared" si="165"/>
        <v>100</v>
      </c>
    </row>
    <row r="973" spans="1:8" ht="34.5" customHeight="1" x14ac:dyDescent="0.25">
      <c r="A973" s="298"/>
      <c r="B973" s="126"/>
      <c r="C973" s="328"/>
      <c r="D973" s="35" t="s">
        <v>460</v>
      </c>
      <c r="E973" s="126"/>
      <c r="F973" s="126">
        <f>264000</f>
        <v>264000</v>
      </c>
      <c r="G973" s="34">
        <f>264000</f>
        <v>264000</v>
      </c>
      <c r="H973" s="42">
        <f t="shared" si="165"/>
        <v>100</v>
      </c>
    </row>
    <row r="974" spans="1:8" ht="26.25" customHeight="1" x14ac:dyDescent="0.25">
      <c r="A974" s="269"/>
      <c r="B974" s="272"/>
      <c r="C974" s="272"/>
      <c r="D974" s="214" t="s">
        <v>337</v>
      </c>
      <c r="E974" s="168"/>
      <c r="F974" s="167">
        <f>F970</f>
        <v>264000</v>
      </c>
      <c r="G974" s="168">
        <f>G970</f>
        <v>264000</v>
      </c>
      <c r="H974" s="42">
        <f t="shared" si="165"/>
        <v>100</v>
      </c>
    </row>
    <row r="975" spans="1:8" ht="25.5" hidden="1" customHeight="1" x14ac:dyDescent="0.25">
      <c r="A975" s="72"/>
      <c r="B975" s="422" t="s">
        <v>204</v>
      </c>
      <c r="C975" s="422"/>
      <c r="D975" s="422"/>
      <c r="E975" s="422"/>
      <c r="F975" s="422"/>
      <c r="G975" s="422"/>
      <c r="H975" s="422"/>
    </row>
    <row r="976" spans="1:8" ht="47.25" hidden="1" customHeight="1" x14ac:dyDescent="0.25">
      <c r="A976" s="72"/>
      <c r="B976" s="423"/>
      <c r="C976" s="423"/>
      <c r="D976" s="423"/>
      <c r="E976" s="423"/>
      <c r="F976" s="423"/>
      <c r="G976" s="423"/>
      <c r="H976" s="423"/>
    </row>
    <row r="977" spans="1:8" ht="32.25" hidden="1" customHeight="1" x14ac:dyDescent="0.3">
      <c r="A977" s="72"/>
      <c r="B977" s="262"/>
      <c r="C977" s="263"/>
      <c r="D977" s="264"/>
      <c r="E977" s="264"/>
      <c r="F977" s="347"/>
      <c r="G977" s="265"/>
      <c r="H977" s="265"/>
    </row>
    <row r="978" spans="1:8" ht="15" hidden="1" customHeight="1" x14ac:dyDescent="0.25">
      <c r="A978" s="406" t="s">
        <v>239</v>
      </c>
      <c r="B978" s="395" t="s">
        <v>240</v>
      </c>
      <c r="C978" s="402" t="s">
        <v>322</v>
      </c>
      <c r="D978" s="391" t="s">
        <v>238</v>
      </c>
      <c r="E978" s="395" t="s">
        <v>301</v>
      </c>
      <c r="F978" s="391" t="s">
        <v>302</v>
      </c>
      <c r="G978" s="394" t="s">
        <v>307</v>
      </c>
      <c r="H978" s="266" t="s">
        <v>254</v>
      </c>
    </row>
    <row r="979" spans="1:8" ht="172.5" hidden="1" customHeight="1" x14ac:dyDescent="0.25">
      <c r="A979" s="398"/>
      <c r="B979" s="398"/>
      <c r="C979" s="403"/>
      <c r="D979" s="391"/>
      <c r="E979" s="396"/>
      <c r="F979" s="391"/>
      <c r="G979" s="394"/>
      <c r="H979" s="267" t="s">
        <v>308</v>
      </c>
    </row>
    <row r="980" spans="1:8" ht="15" hidden="1" customHeight="1" x14ac:dyDescent="0.25">
      <c r="A980" s="188" t="s">
        <v>323</v>
      </c>
      <c r="B980" s="309"/>
      <c r="C980" s="309"/>
      <c r="D980" s="310" t="s">
        <v>237</v>
      </c>
      <c r="E980" s="82"/>
      <c r="F980" s="41">
        <f t="shared" ref="F980:H982" si="166">F981</f>
        <v>0</v>
      </c>
      <c r="G980" s="40">
        <f t="shared" si="166"/>
        <v>0</v>
      </c>
      <c r="H980" s="40" t="e">
        <f t="shared" si="166"/>
        <v>#REF!</v>
      </c>
    </row>
    <row r="981" spans="1:8" ht="15" hidden="1" customHeight="1" x14ac:dyDescent="0.25">
      <c r="A981" s="188">
        <v>115046</v>
      </c>
      <c r="B981" s="188">
        <v>5046</v>
      </c>
      <c r="C981" s="188"/>
      <c r="D981" s="125"/>
      <c r="E981" s="126"/>
      <c r="F981" s="41">
        <f t="shared" si="166"/>
        <v>0</v>
      </c>
      <c r="G981" s="40">
        <f t="shared" si="166"/>
        <v>0</v>
      </c>
      <c r="H981" s="40" t="e">
        <f t="shared" si="166"/>
        <v>#REF!</v>
      </c>
    </row>
    <row r="982" spans="1:8" ht="27" hidden="1" customHeight="1" x14ac:dyDescent="0.25">
      <c r="A982" s="269"/>
      <c r="B982" s="268"/>
      <c r="C982" s="268"/>
      <c r="D982" s="270" t="s">
        <v>266</v>
      </c>
      <c r="E982" s="120"/>
      <c r="F982" s="41">
        <f t="shared" si="166"/>
        <v>0</v>
      </c>
      <c r="G982" s="40">
        <f t="shared" si="166"/>
        <v>0</v>
      </c>
      <c r="H982" s="40" t="e">
        <f t="shared" si="166"/>
        <v>#REF!</v>
      </c>
    </row>
    <row r="983" spans="1:8" ht="39" hidden="1" customHeight="1" x14ac:dyDescent="0.25">
      <c r="A983" s="298"/>
      <c r="B983" s="126"/>
      <c r="C983" s="328"/>
      <c r="D983" s="35"/>
      <c r="E983" s="126"/>
      <c r="F983" s="126"/>
      <c r="G983" s="34"/>
      <c r="H983" s="34" t="e">
        <f>#REF!-G983</f>
        <v>#REF!</v>
      </c>
    </row>
    <row r="984" spans="1:8" ht="24" hidden="1" customHeight="1" x14ac:dyDescent="0.25">
      <c r="A984" s="269"/>
      <c r="B984" s="272"/>
      <c r="C984" s="272"/>
      <c r="D984" s="214" t="s">
        <v>337</v>
      </c>
      <c r="E984" s="168"/>
      <c r="F984" s="167">
        <f>F980</f>
        <v>0</v>
      </c>
      <c r="G984" s="168">
        <f>G980</f>
        <v>0</v>
      </c>
      <c r="H984" s="168" t="e">
        <f>H980</f>
        <v>#REF!</v>
      </c>
    </row>
    <row r="985" spans="1:8" ht="33" hidden="1" customHeight="1" x14ac:dyDescent="0.3">
      <c r="A985" s="72"/>
      <c r="B985" s="262"/>
      <c r="C985" s="263"/>
      <c r="D985" s="264"/>
      <c r="E985" s="264"/>
      <c r="F985" s="347"/>
      <c r="G985" s="265"/>
      <c r="H985" s="265"/>
    </row>
    <row r="986" spans="1:8" ht="22.5" hidden="1" customHeight="1" x14ac:dyDescent="0.3">
      <c r="A986" s="72"/>
      <c r="B986" s="262"/>
      <c r="C986" s="263"/>
      <c r="D986" s="264"/>
      <c r="E986" s="264"/>
      <c r="F986" s="347"/>
      <c r="G986" s="265"/>
      <c r="H986" s="265"/>
    </row>
    <row r="987" spans="1:8" ht="23.25" hidden="1" customHeight="1" x14ac:dyDescent="0.3">
      <c r="A987" s="72"/>
      <c r="B987" s="262"/>
      <c r="C987" s="263"/>
      <c r="D987" s="264"/>
      <c r="E987" s="264"/>
      <c r="F987" s="347"/>
      <c r="G987" s="265"/>
      <c r="H987" s="265"/>
    </row>
    <row r="988" spans="1:8" ht="44.25" hidden="1" customHeight="1" x14ac:dyDescent="0.3">
      <c r="A988" s="72"/>
      <c r="B988" s="407" t="s">
        <v>309</v>
      </c>
      <c r="C988" s="407"/>
      <c r="D988" s="407"/>
      <c r="E988" s="407"/>
      <c r="F988" s="407"/>
      <c r="G988" s="407"/>
      <c r="H988" s="407"/>
    </row>
    <row r="989" spans="1:8" ht="21.75" hidden="1" customHeight="1" x14ac:dyDescent="0.3">
      <c r="A989" s="72"/>
      <c r="B989" s="262"/>
      <c r="C989" s="263"/>
      <c r="D989" s="264"/>
      <c r="E989" s="264"/>
      <c r="F989" s="347"/>
      <c r="G989" s="265"/>
      <c r="H989" s="265"/>
    </row>
    <row r="990" spans="1:8" ht="25.5" hidden="1" customHeight="1" x14ac:dyDescent="0.25">
      <c r="A990" s="406" t="s">
        <v>239</v>
      </c>
      <c r="B990" s="395" t="s">
        <v>240</v>
      </c>
      <c r="C990" s="402" t="s">
        <v>322</v>
      </c>
      <c r="D990" s="391" t="s">
        <v>238</v>
      </c>
      <c r="E990" s="395" t="s">
        <v>301</v>
      </c>
      <c r="F990" s="391" t="s">
        <v>302</v>
      </c>
      <c r="G990" s="394" t="s">
        <v>307</v>
      </c>
      <c r="H990" s="266" t="s">
        <v>254</v>
      </c>
    </row>
    <row r="991" spans="1:8" ht="168.75" hidden="1" customHeight="1" x14ac:dyDescent="0.25">
      <c r="A991" s="398"/>
      <c r="B991" s="398"/>
      <c r="C991" s="403"/>
      <c r="D991" s="391"/>
      <c r="E991" s="396"/>
      <c r="F991" s="391"/>
      <c r="G991" s="394"/>
      <c r="H991" s="267" t="s">
        <v>308</v>
      </c>
    </row>
    <row r="992" spans="1:8" ht="15" hidden="1" customHeight="1" x14ac:dyDescent="0.25">
      <c r="A992" s="231" t="s">
        <v>332</v>
      </c>
      <c r="B992" s="268"/>
      <c r="C992" s="268"/>
      <c r="D992" s="107" t="s">
        <v>251</v>
      </c>
      <c r="E992" s="40"/>
      <c r="F992" s="41">
        <f>F993+F592</f>
        <v>0</v>
      </c>
      <c r="G992" s="40">
        <f>G993+G592</f>
        <v>0</v>
      </c>
      <c r="H992" s="40" t="e">
        <f>H993+H592</f>
        <v>#REF!</v>
      </c>
    </row>
    <row r="993" spans="1:8" ht="15" hidden="1" customHeight="1" x14ac:dyDescent="0.25">
      <c r="A993" s="57" t="s">
        <v>272</v>
      </c>
      <c r="B993" s="142">
        <v>1020</v>
      </c>
      <c r="C993" s="268"/>
      <c r="D993" s="107"/>
      <c r="E993" s="40"/>
      <c r="F993" s="41">
        <f t="shared" ref="F993:H994" si="167">F994</f>
        <v>0</v>
      </c>
      <c r="G993" s="40">
        <f t="shared" si="167"/>
        <v>0</v>
      </c>
      <c r="H993" s="40" t="e">
        <f t="shared" si="167"/>
        <v>#REF!</v>
      </c>
    </row>
    <row r="994" spans="1:8" ht="25.5" hidden="1" customHeight="1" x14ac:dyDescent="0.25">
      <c r="A994" s="269"/>
      <c r="B994" s="268"/>
      <c r="C994" s="268"/>
      <c r="D994" s="270" t="s">
        <v>252</v>
      </c>
      <c r="E994" s="120"/>
      <c r="F994" s="41">
        <f t="shared" si="167"/>
        <v>0</v>
      </c>
      <c r="G994" s="40">
        <f t="shared" si="167"/>
        <v>0</v>
      </c>
      <c r="H994" s="40" t="e">
        <f t="shared" si="167"/>
        <v>#REF!</v>
      </c>
    </row>
    <row r="995" spans="1:8" ht="36.75" hidden="1" customHeight="1" x14ac:dyDescent="0.25">
      <c r="A995" s="269"/>
      <c r="B995" s="268"/>
      <c r="C995" s="268"/>
      <c r="D995" s="35"/>
      <c r="E995" s="34"/>
      <c r="F995" s="126"/>
      <c r="G995" s="34"/>
      <c r="H995" s="34" t="e">
        <f>#REF!-G995</f>
        <v>#REF!</v>
      </c>
    </row>
    <row r="996" spans="1:8" ht="21" hidden="1" customHeight="1" x14ac:dyDescent="0.25">
      <c r="A996" s="269"/>
      <c r="B996" s="272"/>
      <c r="C996" s="272"/>
      <c r="D996" s="214" t="s">
        <v>337</v>
      </c>
      <c r="E996" s="168"/>
      <c r="F996" s="167">
        <f>F992</f>
        <v>0</v>
      </c>
      <c r="G996" s="168">
        <f>G992</f>
        <v>0</v>
      </c>
      <c r="H996" s="168" t="e">
        <f>H992</f>
        <v>#REF!</v>
      </c>
    </row>
    <row r="997" spans="1:8" ht="24" hidden="1" customHeight="1" x14ac:dyDescent="0.25">
      <c r="A997" s="68"/>
      <c r="B997" s="329"/>
      <c r="C997" s="329"/>
      <c r="D997" s="330"/>
      <c r="E997" s="331"/>
      <c r="F997" s="385"/>
      <c r="G997" s="331"/>
      <c r="H997" s="331"/>
    </row>
    <row r="998" spans="1:8" ht="21.75" hidden="1" customHeight="1" x14ac:dyDescent="0.25">
      <c r="A998" s="68"/>
      <c r="B998" s="329"/>
      <c r="C998" s="329"/>
      <c r="D998" s="330"/>
      <c r="E998" s="331"/>
      <c r="F998" s="385"/>
      <c r="G998" s="331"/>
      <c r="H998" s="331"/>
    </row>
    <row r="999" spans="1:8" hidden="1" x14ac:dyDescent="0.25">
      <c r="C999" s="73"/>
      <c r="D999" s="72"/>
      <c r="E999" s="72"/>
      <c r="F999" s="350"/>
      <c r="G999" s="289"/>
      <c r="H999" s="290"/>
    </row>
    <row r="1000" spans="1:8" ht="54" hidden="1" customHeight="1" x14ac:dyDescent="0.3">
      <c r="C1000" s="73"/>
      <c r="D1000" s="430" t="s">
        <v>231</v>
      </c>
      <c r="E1000" s="430"/>
      <c r="F1000" s="430"/>
      <c r="G1000" s="430"/>
      <c r="H1000" s="430"/>
    </row>
    <row r="1001" spans="1:8" hidden="1" x14ac:dyDescent="0.25">
      <c r="C1001" s="73"/>
      <c r="D1001" s="72"/>
      <c r="E1001" s="72"/>
      <c r="F1001" s="350"/>
      <c r="G1001" s="289"/>
      <c r="H1001" s="290"/>
    </row>
    <row r="1002" spans="1:8" hidden="1" x14ac:dyDescent="0.25">
      <c r="C1002" s="73"/>
      <c r="D1002" s="72"/>
      <c r="E1002" s="72"/>
      <c r="F1002" s="350"/>
      <c r="G1002" s="289"/>
      <c r="H1002" s="290"/>
    </row>
    <row r="1003" spans="1:8" ht="15.75" hidden="1" customHeight="1" x14ac:dyDescent="0.25">
      <c r="A1003" s="406" t="s">
        <v>239</v>
      </c>
      <c r="B1003" s="395" t="s">
        <v>240</v>
      </c>
      <c r="C1003" s="402" t="s">
        <v>322</v>
      </c>
      <c r="D1003" s="391" t="s">
        <v>238</v>
      </c>
      <c r="E1003" s="395" t="s">
        <v>301</v>
      </c>
      <c r="F1003" s="391" t="s">
        <v>302</v>
      </c>
      <c r="G1003" s="394" t="s">
        <v>307</v>
      </c>
      <c r="H1003" s="266" t="s">
        <v>254</v>
      </c>
    </row>
    <row r="1004" spans="1:8" ht="165" hidden="1" customHeight="1" x14ac:dyDescent="0.25">
      <c r="A1004" s="398"/>
      <c r="B1004" s="398"/>
      <c r="C1004" s="403"/>
      <c r="D1004" s="391"/>
      <c r="E1004" s="396"/>
      <c r="F1004" s="391"/>
      <c r="G1004" s="394"/>
      <c r="H1004" s="267" t="s">
        <v>308</v>
      </c>
    </row>
    <row r="1005" spans="1:8" ht="18.75" hidden="1" x14ac:dyDescent="0.25">
      <c r="A1005" s="213">
        <v>31</v>
      </c>
      <c r="B1005" s="213"/>
      <c r="C1005" s="213"/>
      <c r="D1005" s="310" t="s">
        <v>338</v>
      </c>
      <c r="E1005" s="82"/>
      <c r="F1005" s="120">
        <f t="shared" ref="F1005:G1006" si="168">F1006</f>
        <v>0</v>
      </c>
      <c r="G1005" s="33">
        <f t="shared" si="168"/>
        <v>0</v>
      </c>
      <c r="H1005" s="33" t="e">
        <f>#REF!-G1005</f>
        <v>#REF!</v>
      </c>
    </row>
    <row r="1006" spans="1:8" ht="27" hidden="1" customHeight="1" x14ac:dyDescent="0.25">
      <c r="A1006" s="315">
        <v>3117362</v>
      </c>
      <c r="B1006" s="188">
        <v>7362</v>
      </c>
      <c r="C1006" s="213"/>
      <c r="D1006" s="284"/>
      <c r="E1006" s="316"/>
      <c r="F1006" s="120">
        <f t="shared" si="168"/>
        <v>0</v>
      </c>
      <c r="G1006" s="33">
        <f t="shared" si="168"/>
        <v>0</v>
      </c>
      <c r="H1006" s="33" t="e">
        <f>H1007</f>
        <v>#REF!</v>
      </c>
    </row>
    <row r="1007" spans="1:8" ht="15.75" hidden="1" x14ac:dyDescent="0.25">
      <c r="A1007" s="147"/>
      <c r="B1007" s="147"/>
      <c r="C1007" s="171">
        <v>3132</v>
      </c>
      <c r="D1007" s="270" t="s">
        <v>253</v>
      </c>
      <c r="E1007" s="120"/>
      <c r="F1007" s="120">
        <f>F1008+F1017</f>
        <v>0</v>
      </c>
      <c r="G1007" s="33">
        <f>G1008+G1017</f>
        <v>0</v>
      </c>
      <c r="H1007" s="33" t="e">
        <f>H1008+H1017</f>
        <v>#REF!</v>
      </c>
    </row>
    <row r="1008" spans="1:8" ht="22.5" hidden="1" x14ac:dyDescent="0.3">
      <c r="A1008" s="318"/>
      <c r="B1008" s="319"/>
      <c r="C1008" s="319"/>
      <c r="D1008" s="332" t="s">
        <v>316</v>
      </c>
      <c r="E1008" s="126"/>
      <c r="F1008" s="120">
        <f>SUM(F1009:F1016)</f>
        <v>0</v>
      </c>
      <c r="G1008" s="33">
        <f>SUM(G1009:G1016)</f>
        <v>0</v>
      </c>
      <c r="H1008" s="33" t="e">
        <f>SUM(H1009:H1016)</f>
        <v>#REF!</v>
      </c>
    </row>
    <row r="1009" spans="1:8" ht="48" hidden="1" customHeight="1" x14ac:dyDescent="0.3">
      <c r="A1009" s="318"/>
      <c r="B1009" s="319"/>
      <c r="C1009" s="319"/>
      <c r="D1009" s="106"/>
      <c r="E1009" s="126"/>
      <c r="F1009" s="126"/>
      <c r="G1009" s="34"/>
      <c r="H1009" s="34" t="e">
        <f>#REF!-G1009</f>
        <v>#REF!</v>
      </c>
    </row>
    <row r="1010" spans="1:8" ht="46.5" hidden="1" customHeight="1" x14ac:dyDescent="0.3">
      <c r="A1010" s="318"/>
      <c r="B1010" s="319"/>
      <c r="C1010" s="319"/>
      <c r="D1010" s="333"/>
      <c r="E1010" s="126"/>
      <c r="F1010" s="126"/>
      <c r="G1010" s="34"/>
      <c r="H1010" s="34" t="e">
        <f>#REF!-G1010</f>
        <v>#REF!</v>
      </c>
    </row>
    <row r="1011" spans="1:8" ht="39.75" hidden="1" customHeight="1" x14ac:dyDescent="0.3">
      <c r="A1011" s="318"/>
      <c r="B1011" s="319"/>
      <c r="C1011" s="319"/>
      <c r="D1011" s="106"/>
      <c r="E1011" s="126"/>
      <c r="F1011" s="126"/>
      <c r="G1011" s="34"/>
      <c r="H1011" s="34" t="e">
        <f>#REF!-G1011</f>
        <v>#REF!</v>
      </c>
    </row>
    <row r="1012" spans="1:8" ht="22.5" hidden="1" x14ac:dyDescent="0.3">
      <c r="A1012" s="318"/>
      <c r="B1012" s="319"/>
      <c r="C1012" s="319"/>
      <c r="D1012" s="333"/>
      <c r="E1012" s="126"/>
      <c r="F1012" s="126"/>
      <c r="G1012" s="34"/>
      <c r="H1012" s="34" t="e">
        <f>#REF!-G1012</f>
        <v>#REF!</v>
      </c>
    </row>
    <row r="1013" spans="1:8" ht="31.5" hidden="1" customHeight="1" x14ac:dyDescent="0.3">
      <c r="A1013" s="318"/>
      <c r="B1013" s="319"/>
      <c r="C1013" s="319"/>
      <c r="D1013" s="106"/>
      <c r="E1013" s="126"/>
      <c r="F1013" s="126"/>
      <c r="G1013" s="34"/>
      <c r="H1013" s="34" t="e">
        <f>#REF!-G1013</f>
        <v>#REF!</v>
      </c>
    </row>
    <row r="1014" spans="1:8" ht="22.5" hidden="1" x14ac:dyDescent="0.3">
      <c r="A1014" s="318"/>
      <c r="B1014" s="319"/>
      <c r="C1014" s="319"/>
      <c r="D1014" s="106"/>
      <c r="E1014" s="126"/>
      <c r="F1014" s="126"/>
      <c r="G1014" s="34"/>
      <c r="H1014" s="34" t="e">
        <f>#REF!-G1014</f>
        <v>#REF!</v>
      </c>
    </row>
    <row r="1015" spans="1:8" ht="22.5" hidden="1" x14ac:dyDescent="0.3">
      <c r="A1015" s="318"/>
      <c r="B1015" s="319"/>
      <c r="C1015" s="319"/>
      <c r="D1015" s="106"/>
      <c r="E1015" s="126"/>
      <c r="F1015" s="126"/>
      <c r="G1015" s="34"/>
      <c r="H1015" s="34" t="e">
        <f>#REF!-G1015</f>
        <v>#REF!</v>
      </c>
    </row>
    <row r="1016" spans="1:8" ht="49.5" hidden="1" customHeight="1" x14ac:dyDescent="0.3">
      <c r="A1016" s="318"/>
      <c r="B1016" s="319"/>
      <c r="C1016" s="319"/>
      <c r="D1016" s="333"/>
      <c r="E1016" s="126"/>
      <c r="F1016" s="126"/>
      <c r="G1016" s="34"/>
      <c r="H1016" s="34" t="e">
        <f>#REF!-G1016</f>
        <v>#REF!</v>
      </c>
    </row>
    <row r="1017" spans="1:8" ht="32.25" hidden="1" customHeight="1" x14ac:dyDescent="0.3">
      <c r="A1017" s="318"/>
      <c r="B1017" s="319"/>
      <c r="C1017" s="319"/>
      <c r="D1017" s="332" t="s">
        <v>288</v>
      </c>
      <c r="E1017" s="126"/>
      <c r="F1017" s="120">
        <f>SUM(F1018:F1021)</f>
        <v>0</v>
      </c>
      <c r="G1017" s="33">
        <f>SUM(G1018:G1021)</f>
        <v>0</v>
      </c>
      <c r="H1017" s="33" t="e">
        <f>SUM(H1018:H1021)</f>
        <v>#REF!</v>
      </c>
    </row>
    <row r="1018" spans="1:8" ht="22.5" hidden="1" x14ac:dyDescent="0.3">
      <c r="A1018" s="318"/>
      <c r="B1018" s="319"/>
      <c r="C1018" s="319"/>
      <c r="D1018" s="106"/>
      <c r="E1018" s="126"/>
      <c r="F1018" s="126"/>
      <c r="G1018" s="34"/>
      <c r="H1018" s="34" t="e">
        <f>#REF!-G1018</f>
        <v>#REF!</v>
      </c>
    </row>
    <row r="1019" spans="1:8" ht="22.5" hidden="1" x14ac:dyDescent="0.3">
      <c r="A1019" s="318"/>
      <c r="B1019" s="319"/>
      <c r="C1019" s="319"/>
      <c r="D1019" s="333"/>
      <c r="E1019" s="126"/>
      <c r="F1019" s="126"/>
      <c r="G1019" s="34"/>
      <c r="H1019" s="34" t="e">
        <f>#REF!-G1019</f>
        <v>#REF!</v>
      </c>
    </row>
    <row r="1020" spans="1:8" ht="22.5" hidden="1" x14ac:dyDescent="0.3">
      <c r="A1020" s="318"/>
      <c r="B1020" s="319"/>
      <c r="C1020" s="319"/>
      <c r="D1020" s="106"/>
      <c r="E1020" s="126"/>
      <c r="F1020" s="126"/>
      <c r="G1020" s="34"/>
      <c r="H1020" s="34" t="e">
        <f>#REF!-G1020</f>
        <v>#REF!</v>
      </c>
    </row>
    <row r="1021" spans="1:8" ht="22.5" hidden="1" x14ac:dyDescent="0.3">
      <c r="A1021" s="318"/>
      <c r="B1021" s="319"/>
      <c r="C1021" s="319"/>
      <c r="D1021" s="333"/>
      <c r="E1021" s="126"/>
      <c r="F1021" s="126"/>
      <c r="G1021" s="34"/>
      <c r="H1021" s="34" t="e">
        <f>#REF!-G1021</f>
        <v>#REF!</v>
      </c>
    </row>
    <row r="1022" spans="1:8" ht="22.5" hidden="1" x14ac:dyDescent="0.3">
      <c r="A1022" s="318"/>
      <c r="B1022" s="319"/>
      <c r="C1022" s="319"/>
      <c r="D1022" s="125"/>
      <c r="E1022" s="126"/>
      <c r="F1022" s="126"/>
      <c r="G1022" s="34"/>
      <c r="H1022" s="34" t="e">
        <f>#REF!-G1022</f>
        <v>#REF!</v>
      </c>
    </row>
    <row r="1023" spans="1:8" ht="20.25" hidden="1" x14ac:dyDescent="0.3">
      <c r="A1023" s="320"/>
      <c r="B1023" s="321"/>
      <c r="C1023" s="321"/>
      <c r="D1023" s="214" t="s">
        <v>337</v>
      </c>
      <c r="E1023" s="168"/>
      <c r="F1023" s="167">
        <f>F1005</f>
        <v>0</v>
      </c>
      <c r="G1023" s="168">
        <f>G1005</f>
        <v>0</v>
      </c>
      <c r="H1023" s="168" t="e">
        <f>H1005</f>
        <v>#REF!</v>
      </c>
    </row>
    <row r="1024" spans="1:8" hidden="1" x14ac:dyDescent="0.25">
      <c r="C1024" s="73"/>
      <c r="D1024" s="72"/>
      <c r="E1024" s="72"/>
      <c r="F1024" s="350"/>
      <c r="G1024" s="289"/>
      <c r="H1024" s="290"/>
    </row>
    <row r="1025" spans="1:8" x14ac:dyDescent="0.25">
      <c r="C1025" s="73"/>
      <c r="D1025" s="72"/>
      <c r="E1025" s="72"/>
      <c r="F1025" s="350"/>
      <c r="G1025" s="289"/>
      <c r="H1025" s="290"/>
    </row>
    <row r="1026" spans="1:8" x14ac:dyDescent="0.25">
      <c r="C1026" s="73"/>
      <c r="D1026" s="72"/>
      <c r="E1026" s="72"/>
      <c r="F1026" s="350"/>
      <c r="G1026" s="289"/>
      <c r="H1026" s="290"/>
    </row>
    <row r="1027" spans="1:8" x14ac:dyDescent="0.25">
      <c r="C1027" s="73"/>
      <c r="D1027" s="72"/>
      <c r="E1027" s="72"/>
      <c r="F1027" s="350"/>
      <c r="G1027" s="289"/>
      <c r="H1027" s="290"/>
    </row>
    <row r="1028" spans="1:8" ht="18.75" customHeight="1" x14ac:dyDescent="0.25">
      <c r="A1028" s="428" t="s">
        <v>511</v>
      </c>
      <c r="B1028" s="429"/>
      <c r="C1028" s="429"/>
      <c r="D1028" s="429"/>
      <c r="E1028" s="429"/>
      <c r="F1028" s="429"/>
      <c r="G1028" s="429"/>
      <c r="H1028" s="429"/>
    </row>
    <row r="1029" spans="1:8" ht="28.5" customHeight="1" x14ac:dyDescent="0.25">
      <c r="A1029" s="429"/>
      <c r="B1029" s="429"/>
      <c r="C1029" s="429"/>
      <c r="D1029" s="429"/>
      <c r="E1029" s="429"/>
      <c r="F1029" s="429"/>
      <c r="G1029" s="429"/>
      <c r="H1029" s="429"/>
    </row>
    <row r="1030" spans="1:8" x14ac:dyDescent="0.25">
      <c r="C1030" s="73"/>
      <c r="D1030" s="72"/>
      <c r="E1030" s="72"/>
      <c r="F1030" s="386"/>
      <c r="G1030" s="334"/>
      <c r="H1030" s="335"/>
    </row>
    <row r="1031" spans="1:8" ht="15.75" customHeight="1" x14ac:dyDescent="0.25">
      <c r="A1031" s="406" t="s">
        <v>239</v>
      </c>
      <c r="B1031" s="395" t="s">
        <v>240</v>
      </c>
      <c r="C1031" s="402" t="s">
        <v>322</v>
      </c>
      <c r="D1031" s="391" t="s">
        <v>238</v>
      </c>
      <c r="E1031" s="395" t="s">
        <v>305</v>
      </c>
      <c r="F1031" s="391" t="s">
        <v>28</v>
      </c>
      <c r="G1031" s="394" t="s">
        <v>507</v>
      </c>
      <c r="H1031" s="420" t="s">
        <v>508</v>
      </c>
    </row>
    <row r="1032" spans="1:8" ht="163.5" customHeight="1" x14ac:dyDescent="0.25">
      <c r="A1032" s="398"/>
      <c r="B1032" s="398"/>
      <c r="C1032" s="403"/>
      <c r="D1032" s="391"/>
      <c r="E1032" s="396"/>
      <c r="F1032" s="391"/>
      <c r="G1032" s="394"/>
      <c r="H1032" s="421"/>
    </row>
    <row r="1033" spans="1:8" ht="20.25" x14ac:dyDescent="0.25">
      <c r="A1033" s="57" t="s">
        <v>323</v>
      </c>
      <c r="B1033" s="189"/>
      <c r="C1033" s="171"/>
      <c r="D1033" s="310" t="s">
        <v>237</v>
      </c>
      <c r="E1033" s="191">
        <f>E1034+E1263</f>
        <v>0</v>
      </c>
      <c r="F1033" s="366">
        <f>F1034+F1042</f>
        <v>5351936.1500000004</v>
      </c>
      <c r="G1033" s="191">
        <f>G1034+G1042</f>
        <v>5338324.6999999993</v>
      </c>
      <c r="H1033" s="345">
        <f>G1033/F1033*100</f>
        <v>99.745672414271951</v>
      </c>
    </row>
    <row r="1034" spans="1:8" ht="18.75" x14ac:dyDescent="0.25">
      <c r="A1034" s="192" t="s">
        <v>326</v>
      </c>
      <c r="B1034" s="170">
        <v>6083</v>
      </c>
      <c r="C1034" s="171"/>
      <c r="D1034" s="166"/>
      <c r="E1034" s="41">
        <f t="shared" ref="E1034" si="169">E1035</f>
        <v>0</v>
      </c>
      <c r="F1034" s="41">
        <f>F1035+F1038</f>
        <v>5351936.1500000004</v>
      </c>
      <c r="G1034" s="41">
        <f t="shared" ref="G1034" si="170">G1035+G1038</f>
        <v>5338324.6999999993</v>
      </c>
      <c r="H1034" s="345">
        <f t="shared" ref="H1034:H1046" si="171">G1034/F1034*100</f>
        <v>99.745672414271951</v>
      </c>
    </row>
    <row r="1035" spans="1:8" ht="18.75" x14ac:dyDescent="0.25">
      <c r="A1035" s="169"/>
      <c r="B1035" s="336"/>
      <c r="C1035" s="171"/>
      <c r="D1035" s="270" t="s">
        <v>143</v>
      </c>
      <c r="E1035" s="120">
        <f t="shared" ref="E1035:G1035" si="172">SUM(E1036)</f>
        <v>0</v>
      </c>
      <c r="F1035" s="120">
        <f t="shared" si="172"/>
        <v>2847748.8</v>
      </c>
      <c r="G1035" s="33">
        <f t="shared" si="172"/>
        <v>2847748.8</v>
      </c>
      <c r="H1035" s="345">
        <f t="shared" si="171"/>
        <v>100</v>
      </c>
    </row>
    <row r="1036" spans="1:8" ht="31.5" x14ac:dyDescent="0.25">
      <c r="A1036" s="154"/>
      <c r="B1036" s="336"/>
      <c r="C1036" s="171"/>
      <c r="D1036" s="45" t="s">
        <v>383</v>
      </c>
      <c r="E1036" s="31"/>
      <c r="F1036" s="195">
        <v>2847748.8</v>
      </c>
      <c r="G1036" s="34">
        <v>2847748.8</v>
      </c>
      <c r="H1036" s="345">
        <f t="shared" si="171"/>
        <v>100</v>
      </c>
    </row>
    <row r="1037" spans="1:8" ht="18.75" x14ac:dyDescent="0.25">
      <c r="A1037" s="154"/>
      <c r="B1037" s="336"/>
      <c r="C1037" s="171"/>
      <c r="D1037" s="45"/>
      <c r="E1037" s="31"/>
      <c r="F1037" s="195"/>
      <c r="G1037" s="34"/>
      <c r="H1037" s="345"/>
    </row>
    <row r="1038" spans="1:8" ht="18.75" x14ac:dyDescent="0.25">
      <c r="A1038" s="184"/>
      <c r="B1038" s="120"/>
      <c r="C1038" s="103"/>
      <c r="D1038" s="270" t="s">
        <v>266</v>
      </c>
      <c r="E1038" s="31"/>
      <c r="F1038" s="140">
        <f>F1039+F1040</f>
        <v>2504187.35</v>
      </c>
      <c r="G1038" s="140">
        <f t="shared" ref="G1038" si="173">G1039+G1040</f>
        <v>2490575.9</v>
      </c>
      <c r="H1038" s="345">
        <f t="shared" si="171"/>
        <v>99.456452409601056</v>
      </c>
    </row>
    <row r="1039" spans="1:8" ht="31.5" x14ac:dyDescent="0.25">
      <c r="A1039" s="154"/>
      <c r="B1039" s="336"/>
      <c r="C1039" s="171"/>
      <c r="D1039" s="44" t="s">
        <v>156</v>
      </c>
      <c r="E1039" s="31"/>
      <c r="F1039" s="195">
        <f>2386793.45+117393.9</f>
        <v>2504187.35</v>
      </c>
      <c r="G1039" s="34">
        <f>190000+15150+9850+35000+2096771+117393.9+26411</f>
        <v>2490575.9</v>
      </c>
      <c r="H1039" s="345">
        <f t="shared" si="171"/>
        <v>99.456452409601056</v>
      </c>
    </row>
    <row r="1040" spans="1:8" ht="31.5" x14ac:dyDescent="0.25">
      <c r="A1040" s="154"/>
      <c r="B1040" s="336"/>
      <c r="C1040" s="171"/>
      <c r="D1040" s="179" t="s">
        <v>501</v>
      </c>
      <c r="E1040" s="31"/>
      <c r="F1040" s="195">
        <f>117393.9-117393.9</f>
        <v>0</v>
      </c>
      <c r="G1040" s="34"/>
      <c r="H1040" s="345"/>
    </row>
    <row r="1041" spans="1:8" ht="18.75" x14ac:dyDescent="0.25">
      <c r="A1041" s="154"/>
      <c r="B1041" s="336"/>
      <c r="C1041" s="171"/>
      <c r="D1041" s="45"/>
      <c r="E1041" s="31"/>
      <c r="F1041" s="195"/>
      <c r="G1041" s="34"/>
      <c r="H1041" s="345"/>
    </row>
    <row r="1042" spans="1:8" ht="18.75" x14ac:dyDescent="0.25">
      <c r="A1042" s="184" t="s">
        <v>297</v>
      </c>
      <c r="B1042" s="120" t="s">
        <v>298</v>
      </c>
      <c r="C1042" s="103"/>
      <c r="D1042" s="45"/>
      <c r="E1042" s="31"/>
      <c r="F1042" s="140">
        <f t="shared" ref="F1042:G1043" si="174">F1043</f>
        <v>0</v>
      </c>
      <c r="G1042" s="140">
        <f t="shared" si="174"/>
        <v>0</v>
      </c>
      <c r="H1042" s="345"/>
    </row>
    <row r="1043" spans="1:8" ht="18.75" x14ac:dyDescent="0.25">
      <c r="A1043" s="184"/>
      <c r="B1043" s="120"/>
      <c r="C1043" s="103"/>
      <c r="D1043" s="270" t="s">
        <v>143</v>
      </c>
      <c r="E1043" s="31"/>
      <c r="F1043" s="140">
        <f t="shared" si="174"/>
        <v>0</v>
      </c>
      <c r="G1043" s="140">
        <f t="shared" si="174"/>
        <v>0</v>
      </c>
      <c r="H1043" s="345"/>
    </row>
    <row r="1044" spans="1:8" ht="31.5" x14ac:dyDescent="0.25">
      <c r="A1044" s="154"/>
      <c r="B1044" s="336"/>
      <c r="C1044" s="171"/>
      <c r="D1044" s="45" t="s">
        <v>205</v>
      </c>
      <c r="E1044" s="31"/>
      <c r="F1044" s="195">
        <f>2386793.45-2386793.45</f>
        <v>0</v>
      </c>
      <c r="G1044" s="34"/>
      <c r="H1044" s="345"/>
    </row>
    <row r="1045" spans="1:8" ht="18.75" x14ac:dyDescent="0.25">
      <c r="A1045" s="154"/>
      <c r="B1045" s="336"/>
      <c r="C1045" s="171"/>
      <c r="D1045" s="45"/>
      <c r="E1045" s="31"/>
      <c r="F1045" s="195"/>
      <c r="G1045" s="34"/>
      <c r="H1045" s="345"/>
    </row>
    <row r="1046" spans="1:8" ht="21" x14ac:dyDescent="0.25">
      <c r="A1046" s="269"/>
      <c r="B1046" s="272"/>
      <c r="C1046" s="272"/>
      <c r="D1046" s="214" t="s">
        <v>337</v>
      </c>
      <c r="E1046" s="168"/>
      <c r="F1046" s="167">
        <f>F1033</f>
        <v>5351936.1500000004</v>
      </c>
      <c r="G1046" s="168">
        <f>G1033</f>
        <v>5338324.6999999993</v>
      </c>
      <c r="H1046" s="345">
        <f t="shared" si="171"/>
        <v>99.745672414271951</v>
      </c>
    </row>
    <row r="1047" spans="1:8" x14ac:dyDescent="0.25">
      <c r="C1047" s="73"/>
      <c r="D1047" s="72"/>
      <c r="E1047" s="72"/>
      <c r="F1047" s="350"/>
      <c r="G1047" s="289"/>
      <c r="H1047" s="290"/>
    </row>
    <row r="1048" spans="1:8" x14ac:dyDescent="0.25">
      <c r="C1048" s="73"/>
      <c r="D1048" s="72"/>
      <c r="E1048" s="72"/>
      <c r="F1048" s="350"/>
      <c r="G1048" s="289"/>
      <c r="H1048" s="290"/>
    </row>
    <row r="1049" spans="1:8" x14ac:dyDescent="0.25">
      <c r="C1049" s="73"/>
      <c r="D1049" s="72"/>
      <c r="E1049" s="72"/>
      <c r="F1049" s="350"/>
      <c r="G1049" s="289"/>
      <c r="H1049" s="290"/>
    </row>
    <row r="1050" spans="1:8" x14ac:dyDescent="0.25">
      <c r="C1050" s="73"/>
      <c r="D1050" s="72"/>
      <c r="E1050" s="72"/>
      <c r="F1050" s="350"/>
      <c r="G1050" s="289"/>
      <c r="H1050" s="290"/>
    </row>
    <row r="1051" spans="1:8" ht="44.25" customHeight="1" x14ac:dyDescent="0.25">
      <c r="A1051" s="72"/>
      <c r="B1051" s="424" t="s">
        <v>412</v>
      </c>
      <c r="C1051" s="425"/>
      <c r="D1051" s="425"/>
      <c r="E1051" s="425"/>
      <c r="F1051" s="425"/>
      <c r="G1051" s="425"/>
      <c r="H1051" s="425"/>
    </row>
    <row r="1052" spans="1:8" x14ac:dyDescent="0.25">
      <c r="A1052" s="72"/>
      <c r="B1052" s="262"/>
      <c r="C1052" s="263"/>
      <c r="D1052" s="273"/>
      <c r="E1052" s="273"/>
      <c r="F1052" s="387"/>
      <c r="G1052" s="337"/>
      <c r="H1052" s="338"/>
    </row>
    <row r="1053" spans="1:8" ht="15.75" customHeight="1" x14ac:dyDescent="0.25">
      <c r="A1053" s="406" t="s">
        <v>239</v>
      </c>
      <c r="B1053" s="395" t="s">
        <v>240</v>
      </c>
      <c r="C1053" s="402" t="s">
        <v>322</v>
      </c>
      <c r="D1053" s="391" t="s">
        <v>238</v>
      </c>
      <c r="E1053" s="395" t="s">
        <v>305</v>
      </c>
      <c r="F1053" s="391" t="s">
        <v>28</v>
      </c>
      <c r="G1053" s="394" t="s">
        <v>507</v>
      </c>
      <c r="H1053" s="420" t="s">
        <v>508</v>
      </c>
    </row>
    <row r="1054" spans="1:8" ht="165.75" customHeight="1" x14ac:dyDescent="0.25">
      <c r="A1054" s="398"/>
      <c r="B1054" s="398"/>
      <c r="C1054" s="403"/>
      <c r="D1054" s="391"/>
      <c r="E1054" s="396"/>
      <c r="F1054" s="391"/>
      <c r="G1054" s="394"/>
      <c r="H1054" s="421"/>
    </row>
    <row r="1055" spans="1:8" ht="18.75" x14ac:dyDescent="0.25">
      <c r="A1055" s="231" t="s">
        <v>332</v>
      </c>
      <c r="B1055" s="268"/>
      <c r="C1055" s="268"/>
      <c r="D1055" s="107" t="s">
        <v>251</v>
      </c>
      <c r="E1055" s="40">
        <f t="shared" ref="E1055:G1055" si="175">E1056+E1060</f>
        <v>0</v>
      </c>
      <c r="F1055" s="41">
        <f t="shared" si="175"/>
        <v>0</v>
      </c>
      <c r="G1055" s="40">
        <f t="shared" si="175"/>
        <v>0</v>
      </c>
      <c r="H1055" s="40"/>
    </row>
    <row r="1056" spans="1:8" ht="18.75" x14ac:dyDescent="0.25">
      <c r="A1056" s="57" t="s">
        <v>413</v>
      </c>
      <c r="B1056" s="142">
        <v>1182</v>
      </c>
      <c r="C1056" s="268"/>
      <c r="D1056" s="107"/>
      <c r="E1056" s="40">
        <f t="shared" ref="E1056:G1061" si="176">E1057</f>
        <v>0</v>
      </c>
      <c r="F1056" s="41">
        <f t="shared" si="176"/>
        <v>0</v>
      </c>
      <c r="G1056" s="40">
        <f t="shared" si="176"/>
        <v>0</v>
      </c>
      <c r="H1056" s="40"/>
    </row>
    <row r="1057" spans="1:8" ht="18.75" x14ac:dyDescent="0.25">
      <c r="A1057" s="269"/>
      <c r="B1057" s="268"/>
      <c r="C1057" s="268"/>
      <c r="D1057" s="270" t="s">
        <v>252</v>
      </c>
      <c r="E1057" s="40">
        <f t="shared" si="176"/>
        <v>0</v>
      </c>
      <c r="F1057" s="41">
        <f t="shared" si="176"/>
        <v>0</v>
      </c>
      <c r="G1057" s="40">
        <f t="shared" si="176"/>
        <v>0</v>
      </c>
      <c r="H1057" s="40"/>
    </row>
    <row r="1058" spans="1:8" ht="31.5" x14ac:dyDescent="0.25">
      <c r="A1058" s="269"/>
      <c r="B1058" s="268"/>
      <c r="C1058" s="268"/>
      <c r="D1058" s="30" t="s">
        <v>414</v>
      </c>
      <c r="E1058" s="34"/>
      <c r="F1058" s="126">
        <f>369300-369300</f>
        <v>0</v>
      </c>
      <c r="G1058" s="34"/>
      <c r="H1058" s="34"/>
    </row>
    <row r="1059" spans="1:8" ht="18.75" customHeight="1" x14ac:dyDescent="0.25">
      <c r="A1059" s="269"/>
      <c r="B1059" s="268"/>
      <c r="C1059" s="268"/>
      <c r="D1059" s="30"/>
      <c r="E1059" s="34"/>
      <c r="F1059" s="126"/>
      <c r="G1059" s="34"/>
      <c r="H1059" s="34"/>
    </row>
    <row r="1060" spans="1:8" ht="18.75" hidden="1" x14ac:dyDescent="0.25">
      <c r="A1060" s="57" t="s">
        <v>272</v>
      </c>
      <c r="B1060" s="142">
        <v>1020</v>
      </c>
      <c r="C1060" s="268"/>
      <c r="D1060" s="107"/>
      <c r="E1060" s="40">
        <f t="shared" si="176"/>
        <v>0</v>
      </c>
      <c r="F1060" s="41">
        <f t="shared" si="176"/>
        <v>0</v>
      </c>
      <c r="G1060" s="40">
        <f t="shared" si="176"/>
        <v>0</v>
      </c>
      <c r="H1060" s="40"/>
    </row>
    <row r="1061" spans="1:8" ht="15.75" hidden="1" customHeight="1" x14ac:dyDescent="0.25">
      <c r="A1061" s="269"/>
      <c r="B1061" s="268"/>
      <c r="C1061" s="268"/>
      <c r="D1061" s="270" t="s">
        <v>252</v>
      </c>
      <c r="E1061" s="40">
        <f t="shared" si="176"/>
        <v>0</v>
      </c>
      <c r="F1061" s="41">
        <f t="shared" si="176"/>
        <v>0</v>
      </c>
      <c r="G1061" s="40">
        <f t="shared" si="176"/>
        <v>0</v>
      </c>
      <c r="H1061" s="40"/>
    </row>
    <row r="1062" spans="1:8" ht="18.75" hidden="1" x14ac:dyDescent="0.25">
      <c r="A1062" s="269"/>
      <c r="B1062" s="268"/>
      <c r="C1062" s="268"/>
      <c r="D1062" s="30" t="s">
        <v>452</v>
      </c>
      <c r="E1062" s="34"/>
      <c r="F1062" s="126"/>
      <c r="G1062" s="34"/>
      <c r="H1062" s="34"/>
    </row>
    <row r="1063" spans="1:8" ht="18.75" hidden="1" x14ac:dyDescent="0.25">
      <c r="A1063" s="269"/>
      <c r="B1063" s="268"/>
      <c r="C1063" s="268"/>
      <c r="D1063" s="30"/>
      <c r="E1063" s="34"/>
      <c r="F1063" s="126"/>
      <c r="G1063" s="34"/>
      <c r="H1063" s="34"/>
    </row>
    <row r="1064" spans="1:8" ht="21" x14ac:dyDescent="0.25">
      <c r="A1064" s="269"/>
      <c r="B1064" s="272"/>
      <c r="C1064" s="272"/>
      <c r="D1064" s="214" t="s">
        <v>337</v>
      </c>
      <c r="E1064" s="168">
        <f t="shared" ref="E1064:G1064" si="177">E1055</f>
        <v>0</v>
      </c>
      <c r="F1064" s="167">
        <f t="shared" si="177"/>
        <v>0</v>
      </c>
      <c r="G1064" s="168">
        <f t="shared" si="177"/>
        <v>0</v>
      </c>
      <c r="H1064" s="168"/>
    </row>
    <row r="1065" spans="1:8" x14ac:dyDescent="0.25">
      <c r="C1065" s="73"/>
      <c r="D1065" s="72"/>
      <c r="E1065" s="72"/>
      <c r="F1065" s="350"/>
      <c r="G1065" s="289"/>
      <c r="H1065" s="290"/>
    </row>
    <row r="1066" spans="1:8" x14ac:dyDescent="0.25">
      <c r="C1066" s="73"/>
      <c r="D1066" s="72"/>
      <c r="E1066" s="72"/>
      <c r="F1066" s="350"/>
      <c r="G1066" s="289"/>
      <c r="H1066" s="290"/>
    </row>
    <row r="1067" spans="1:8" ht="48" customHeight="1" x14ac:dyDescent="0.25">
      <c r="B1067" s="426" t="s">
        <v>510</v>
      </c>
      <c r="C1067" s="427"/>
      <c r="D1067" s="427"/>
      <c r="E1067" s="427"/>
      <c r="F1067" s="427"/>
      <c r="G1067" s="427"/>
      <c r="H1067" s="427"/>
    </row>
    <row r="1068" spans="1:8" ht="20.25" customHeight="1" x14ac:dyDescent="0.25">
      <c r="C1068" s="73"/>
      <c r="D1068" s="72"/>
      <c r="E1068" s="72"/>
      <c r="F1068" s="350"/>
      <c r="G1068" s="289"/>
      <c r="H1068" s="290"/>
    </row>
    <row r="1069" spans="1:8" ht="15.75" customHeight="1" x14ac:dyDescent="0.25">
      <c r="A1069" s="406" t="s">
        <v>239</v>
      </c>
      <c r="B1069" s="395" t="s">
        <v>240</v>
      </c>
      <c r="C1069" s="402" t="s">
        <v>322</v>
      </c>
      <c r="D1069" s="391" t="s">
        <v>238</v>
      </c>
      <c r="E1069" s="395" t="s">
        <v>305</v>
      </c>
      <c r="F1069" s="391" t="s">
        <v>28</v>
      </c>
      <c r="G1069" s="394" t="s">
        <v>507</v>
      </c>
      <c r="H1069" s="420" t="s">
        <v>508</v>
      </c>
    </row>
    <row r="1070" spans="1:8" ht="183" customHeight="1" x14ac:dyDescent="0.25">
      <c r="A1070" s="398"/>
      <c r="B1070" s="398"/>
      <c r="C1070" s="403"/>
      <c r="D1070" s="391"/>
      <c r="E1070" s="396"/>
      <c r="F1070" s="391"/>
      <c r="G1070" s="394"/>
      <c r="H1070" s="421"/>
    </row>
    <row r="1071" spans="1:8" ht="18.75" x14ac:dyDescent="0.25">
      <c r="A1071" s="231" t="s">
        <v>332</v>
      </c>
      <c r="B1071" s="268"/>
      <c r="C1071" s="268"/>
      <c r="D1071" s="107" t="s">
        <v>251</v>
      </c>
      <c r="E1071" s="40">
        <f t="shared" ref="E1071:G1071" si="178">E1072+E1077</f>
        <v>0</v>
      </c>
      <c r="F1071" s="41">
        <f t="shared" si="178"/>
        <v>45500</v>
      </c>
      <c r="G1071" s="40">
        <f t="shared" si="178"/>
        <v>43770</v>
      </c>
      <c r="H1071" s="42">
        <f>G1071/F1071*100</f>
        <v>96.19780219780219</v>
      </c>
    </row>
    <row r="1072" spans="1:8" ht="18.75" x14ac:dyDescent="0.25">
      <c r="A1072" s="57" t="s">
        <v>474</v>
      </c>
      <c r="B1072" s="142">
        <v>1210</v>
      </c>
      <c r="C1072" s="339" t="s">
        <v>475</v>
      </c>
      <c r="D1072" s="107"/>
      <c r="E1072" s="40">
        <f t="shared" ref="E1072:G1073" si="179">E1073</f>
        <v>0</v>
      </c>
      <c r="F1072" s="41">
        <f t="shared" si="179"/>
        <v>45500</v>
      </c>
      <c r="G1072" s="40">
        <f t="shared" si="179"/>
        <v>43770</v>
      </c>
      <c r="H1072" s="42">
        <f t="shared" ref="H1072:H1076" si="180">G1072/F1072*100</f>
        <v>96.19780219780219</v>
      </c>
    </row>
    <row r="1073" spans="1:10" ht="18.75" x14ac:dyDescent="0.25">
      <c r="A1073" s="269"/>
      <c r="B1073" s="268"/>
      <c r="C1073" s="268"/>
      <c r="D1073" s="270" t="s">
        <v>252</v>
      </c>
      <c r="E1073" s="40">
        <f t="shared" si="179"/>
        <v>0</v>
      </c>
      <c r="F1073" s="41">
        <f t="shared" si="179"/>
        <v>45500</v>
      </c>
      <c r="G1073" s="40">
        <f t="shared" si="179"/>
        <v>43770</v>
      </c>
      <c r="H1073" s="42">
        <f t="shared" si="180"/>
        <v>96.19780219780219</v>
      </c>
    </row>
    <row r="1074" spans="1:10" ht="31.5" x14ac:dyDescent="0.25">
      <c r="A1074" s="269"/>
      <c r="B1074" s="268"/>
      <c r="C1074" s="268"/>
      <c r="D1074" s="35" t="s">
        <v>476</v>
      </c>
      <c r="E1074" s="34"/>
      <c r="F1074" s="126">
        <v>45500</v>
      </c>
      <c r="G1074" s="34">
        <f>23286+20484</f>
        <v>43770</v>
      </c>
      <c r="H1074" s="42">
        <f t="shared" si="180"/>
        <v>96.19780219780219</v>
      </c>
    </row>
    <row r="1075" spans="1:10" ht="18.75" x14ac:dyDescent="0.25">
      <c r="A1075" s="269"/>
      <c r="B1075" s="268"/>
      <c r="C1075" s="268"/>
      <c r="D1075" s="35"/>
      <c r="E1075" s="34"/>
      <c r="F1075" s="126"/>
      <c r="G1075" s="34"/>
      <c r="H1075" s="42"/>
    </row>
    <row r="1076" spans="1:10" ht="21" x14ac:dyDescent="0.25">
      <c r="A1076" s="269"/>
      <c r="B1076" s="272"/>
      <c r="C1076" s="272"/>
      <c r="D1076" s="214" t="s">
        <v>337</v>
      </c>
      <c r="E1076" s="168">
        <f t="shared" ref="E1076:G1076" si="181">E1071</f>
        <v>0</v>
      </c>
      <c r="F1076" s="167">
        <f t="shared" si="181"/>
        <v>45500</v>
      </c>
      <c r="G1076" s="168">
        <f t="shared" si="181"/>
        <v>43770</v>
      </c>
      <c r="H1076" s="42">
        <f t="shared" si="180"/>
        <v>96.19780219780219</v>
      </c>
      <c r="J1076" s="26"/>
    </row>
    <row r="1077" spans="1:10" x14ac:dyDescent="0.25">
      <c r="C1077" s="73"/>
      <c r="D1077" s="72"/>
      <c r="E1077" s="72"/>
      <c r="F1077" s="350"/>
      <c r="G1077" s="289"/>
      <c r="H1077" s="290"/>
    </row>
    <row r="1078" spans="1:10" x14ac:dyDescent="0.25">
      <c r="C1078" s="73"/>
      <c r="D1078" s="72"/>
      <c r="E1078" s="72"/>
      <c r="F1078" s="350"/>
      <c r="G1078" s="289"/>
      <c r="H1078" s="290"/>
    </row>
    <row r="1079" spans="1:10" ht="70.5" customHeight="1" x14ac:dyDescent="0.3">
      <c r="B1079" s="407" t="s">
        <v>509</v>
      </c>
      <c r="C1079" s="407"/>
      <c r="D1079" s="407"/>
      <c r="E1079" s="407"/>
      <c r="F1079" s="407"/>
      <c r="G1079" s="407"/>
      <c r="H1079" s="407"/>
    </row>
    <row r="1080" spans="1:10" x14ac:dyDescent="0.25">
      <c r="C1080" s="73"/>
      <c r="D1080" s="72"/>
      <c r="E1080" s="72"/>
      <c r="F1080" s="350"/>
      <c r="G1080" s="289"/>
      <c r="H1080" s="290"/>
    </row>
    <row r="1081" spans="1:10" ht="15.75" customHeight="1" x14ac:dyDescent="0.25">
      <c r="A1081" s="406" t="s">
        <v>239</v>
      </c>
      <c r="B1081" s="395" t="s">
        <v>240</v>
      </c>
      <c r="C1081" s="402" t="s">
        <v>322</v>
      </c>
      <c r="D1081" s="391" t="s">
        <v>238</v>
      </c>
      <c r="E1081" s="395" t="s">
        <v>305</v>
      </c>
      <c r="F1081" s="391" t="s">
        <v>28</v>
      </c>
      <c r="G1081" s="394" t="s">
        <v>507</v>
      </c>
      <c r="H1081" s="420" t="s">
        <v>508</v>
      </c>
    </row>
    <row r="1082" spans="1:10" ht="172.5" customHeight="1" x14ac:dyDescent="0.25">
      <c r="A1082" s="398"/>
      <c r="B1082" s="398"/>
      <c r="C1082" s="403"/>
      <c r="D1082" s="391"/>
      <c r="E1082" s="396"/>
      <c r="F1082" s="391"/>
      <c r="G1082" s="394"/>
      <c r="H1082" s="421"/>
    </row>
    <row r="1083" spans="1:10" ht="24.75" customHeight="1" x14ac:dyDescent="0.25">
      <c r="A1083" s="188" t="s">
        <v>323</v>
      </c>
      <c r="B1083" s="309"/>
      <c r="C1083" s="309"/>
      <c r="D1083" s="310" t="s">
        <v>237</v>
      </c>
      <c r="E1083" s="82"/>
      <c r="F1083" s="41">
        <f>F1084</f>
        <v>799340</v>
      </c>
      <c r="G1083" s="40">
        <f>G1084</f>
        <v>799339.05</v>
      </c>
      <c r="H1083" s="42">
        <f>G1083/F1083*100</f>
        <v>99.999881151950362</v>
      </c>
    </row>
    <row r="1084" spans="1:10" ht="18.75" x14ac:dyDescent="0.25">
      <c r="A1084" s="340" t="s">
        <v>68</v>
      </c>
      <c r="B1084" s="142">
        <v>7322</v>
      </c>
      <c r="C1084" s="143"/>
      <c r="D1084" s="125"/>
      <c r="E1084" s="117">
        <f>E1085+E1095</f>
        <v>0</v>
      </c>
      <c r="F1084" s="139">
        <f>F1085</f>
        <v>799340</v>
      </c>
      <c r="G1084" s="117">
        <f>G1085+G1095</f>
        <v>799339.05</v>
      </c>
      <c r="H1084" s="42">
        <f t="shared" ref="H1084:H1088" si="182">G1084/F1084*100</f>
        <v>99.999881151950362</v>
      </c>
    </row>
    <row r="1085" spans="1:10" ht="18.75" x14ac:dyDescent="0.25">
      <c r="A1085" s="144"/>
      <c r="B1085" s="145"/>
      <c r="C1085" s="143"/>
      <c r="D1085" s="36" t="s">
        <v>290</v>
      </c>
      <c r="E1085" s="32">
        <f t="shared" ref="E1085:G1085" si="183">SUM(E1086:E1087)</f>
        <v>0</v>
      </c>
      <c r="F1085" s="140">
        <f t="shared" si="183"/>
        <v>799340</v>
      </c>
      <c r="G1085" s="32">
        <f t="shared" si="183"/>
        <v>799339.05</v>
      </c>
      <c r="H1085" s="42">
        <f t="shared" si="182"/>
        <v>99.999881151950362</v>
      </c>
    </row>
    <row r="1086" spans="1:10" ht="67.5" customHeight="1" x14ac:dyDescent="0.25">
      <c r="A1086" s="298"/>
      <c r="B1086" s="122"/>
      <c r="C1086" s="122"/>
      <c r="D1086" s="35" t="s">
        <v>69</v>
      </c>
      <c r="E1086" s="122"/>
      <c r="F1086" s="126">
        <f>1000000-200660</f>
        <v>799340</v>
      </c>
      <c r="G1086" s="34">
        <f>511323.84+288015.21</f>
        <v>799339.05</v>
      </c>
      <c r="H1086" s="42">
        <f t="shared" si="182"/>
        <v>99.999881151950362</v>
      </c>
    </row>
    <row r="1087" spans="1:10" ht="18.75" x14ac:dyDescent="0.25">
      <c r="A1087" s="298"/>
      <c r="B1087" s="122"/>
      <c r="C1087" s="122"/>
      <c r="D1087" s="45"/>
      <c r="E1087" s="122"/>
      <c r="F1087" s="126"/>
      <c r="G1087" s="34"/>
      <c r="H1087" s="42"/>
    </row>
    <row r="1088" spans="1:10" ht="29.25" customHeight="1" x14ac:dyDescent="0.3">
      <c r="A1088" s="320"/>
      <c r="B1088" s="321"/>
      <c r="C1088" s="321"/>
      <c r="D1088" s="214" t="s">
        <v>337</v>
      </c>
      <c r="E1088" s="168"/>
      <c r="F1088" s="167">
        <f>F1084</f>
        <v>799340</v>
      </c>
      <c r="G1088" s="168">
        <f>G1084</f>
        <v>799339.05</v>
      </c>
      <c r="H1088" s="42">
        <f t="shared" si="182"/>
        <v>99.999881151950362</v>
      </c>
    </row>
    <row r="1089" spans="1:8" ht="20.25" x14ac:dyDescent="0.3">
      <c r="A1089" s="341"/>
      <c r="B1089" s="342"/>
      <c r="C1089" s="342"/>
      <c r="D1089" s="70"/>
      <c r="E1089" s="71"/>
      <c r="F1089" s="383"/>
      <c r="G1089" s="71"/>
      <c r="H1089" s="71"/>
    </row>
    <row r="1090" spans="1:8" ht="130.5" customHeight="1" x14ac:dyDescent="0.3">
      <c r="A1090" s="341"/>
      <c r="B1090" s="342"/>
      <c r="C1090" s="342"/>
      <c r="D1090" s="70"/>
      <c r="E1090" s="71"/>
      <c r="F1090" s="383"/>
      <c r="G1090" s="71"/>
      <c r="H1090" s="71"/>
    </row>
    <row r="1091" spans="1:8" ht="61.5" customHeight="1" x14ac:dyDescent="0.3">
      <c r="A1091" s="258" t="s">
        <v>523</v>
      </c>
      <c r="B1091" s="258"/>
      <c r="C1091" s="261"/>
      <c r="D1091" s="261"/>
      <c r="E1091" s="261"/>
      <c r="F1091" s="348"/>
      <c r="G1091" s="404" t="s">
        <v>498</v>
      </c>
      <c r="H1091" s="404"/>
    </row>
    <row r="1092" spans="1:8" x14ac:dyDescent="0.25">
      <c r="C1092" s="73"/>
      <c r="D1092" s="72"/>
      <c r="E1092" s="72"/>
      <c r="F1092" s="350"/>
      <c r="G1092" s="289"/>
      <c r="H1092" s="290"/>
    </row>
    <row r="1093" spans="1:8" x14ac:dyDescent="0.25">
      <c r="C1093" s="73"/>
      <c r="D1093" s="72"/>
      <c r="E1093" s="72"/>
      <c r="F1093" s="350"/>
      <c r="G1093" s="289"/>
      <c r="H1093" s="290"/>
    </row>
    <row r="1094" spans="1:8" x14ac:dyDescent="0.25">
      <c r="C1094" s="73"/>
      <c r="D1094" s="72"/>
      <c r="E1094" s="72"/>
      <c r="F1094" s="350"/>
      <c r="G1094" s="289"/>
      <c r="H1094" s="290"/>
    </row>
    <row r="1095" spans="1:8" s="9" customFormat="1" x14ac:dyDescent="0.25">
      <c r="A1095" s="288"/>
      <c r="B1095" s="288"/>
      <c r="C1095" s="73"/>
      <c r="D1095" s="72"/>
      <c r="E1095" s="72"/>
      <c r="F1095" s="376"/>
      <c r="G1095" s="289"/>
      <c r="H1095" s="290"/>
    </row>
    <row r="1096" spans="1:8" s="9" customFormat="1" x14ac:dyDescent="0.25">
      <c r="A1096" s="288"/>
      <c r="B1096" s="288"/>
      <c r="C1096" s="73"/>
      <c r="D1096" s="72"/>
      <c r="E1096" s="72"/>
      <c r="F1096" s="350"/>
      <c r="G1096" s="289"/>
      <c r="H1096" s="290"/>
    </row>
    <row r="1097" spans="1:8" x14ac:dyDescent="0.25">
      <c r="C1097" s="73"/>
      <c r="D1097" s="72"/>
      <c r="E1097" s="72"/>
      <c r="F1097" s="376"/>
      <c r="G1097" s="289"/>
      <c r="H1097" s="290"/>
    </row>
    <row r="1098" spans="1:8" x14ac:dyDescent="0.25">
      <c r="C1098" s="73"/>
      <c r="D1098" s="72"/>
      <c r="E1098" s="72"/>
      <c r="F1098" s="350"/>
      <c r="G1098" s="289"/>
      <c r="H1098" s="290"/>
    </row>
    <row r="1099" spans="1:8" x14ac:dyDescent="0.25">
      <c r="C1099" s="73"/>
      <c r="D1099" s="72"/>
      <c r="E1099" s="72"/>
      <c r="F1099" s="350"/>
      <c r="G1099" s="289"/>
      <c r="H1099" s="290"/>
    </row>
    <row r="1100" spans="1:8" x14ac:dyDescent="0.25">
      <c r="C1100" s="73"/>
      <c r="D1100" s="72"/>
      <c r="E1100" s="72"/>
      <c r="F1100" s="350"/>
      <c r="G1100" s="289"/>
      <c r="H1100" s="290"/>
    </row>
    <row r="1101" spans="1:8" x14ac:dyDescent="0.25">
      <c r="C1101" s="73"/>
      <c r="D1101" s="72"/>
      <c r="E1101" s="72"/>
      <c r="F1101" s="350"/>
      <c r="G1101" s="289"/>
      <c r="H1101" s="290"/>
    </row>
    <row r="1102" spans="1:8" x14ac:dyDescent="0.25">
      <c r="C1102" s="73"/>
      <c r="D1102" s="72"/>
      <c r="E1102" s="72"/>
      <c r="F1102" s="350"/>
      <c r="G1102" s="289"/>
      <c r="H1102" s="290"/>
    </row>
    <row r="1103" spans="1:8" x14ac:dyDescent="0.25">
      <c r="C1103" s="73"/>
      <c r="D1103" s="72"/>
      <c r="E1103" s="72"/>
      <c r="F1103" s="350"/>
      <c r="G1103" s="289"/>
      <c r="H1103" s="290"/>
    </row>
    <row r="1104" spans="1:8" x14ac:dyDescent="0.25">
      <c r="C1104" s="73"/>
      <c r="D1104" s="72"/>
      <c r="E1104" s="72"/>
      <c r="F1104" s="350"/>
      <c r="G1104" s="289"/>
      <c r="H1104" s="290"/>
    </row>
    <row r="1105" spans="3:8" x14ac:dyDescent="0.25">
      <c r="C1105" s="73"/>
      <c r="D1105" s="72"/>
      <c r="E1105" s="72"/>
      <c r="F1105" s="350"/>
      <c r="G1105" s="289"/>
      <c r="H1105" s="290"/>
    </row>
    <row r="1106" spans="3:8" x14ac:dyDescent="0.25">
      <c r="C1106" s="73"/>
      <c r="D1106" s="72"/>
      <c r="E1106" s="72"/>
      <c r="F1106" s="350"/>
      <c r="G1106" s="289"/>
      <c r="H1106" s="290"/>
    </row>
    <row r="1107" spans="3:8" x14ac:dyDescent="0.25">
      <c r="C1107" s="73"/>
      <c r="D1107" s="72"/>
      <c r="E1107" s="72"/>
      <c r="F1107" s="350"/>
      <c r="G1107" s="289"/>
      <c r="H1107" s="290"/>
    </row>
    <row r="1108" spans="3:8" x14ac:dyDescent="0.25">
      <c r="C1108" s="73"/>
      <c r="D1108" s="72"/>
      <c r="E1108" s="72"/>
      <c r="F1108" s="350"/>
      <c r="G1108" s="289"/>
      <c r="H1108" s="290"/>
    </row>
    <row r="1109" spans="3:8" x14ac:dyDescent="0.25">
      <c r="C1109" s="73"/>
      <c r="D1109" s="72"/>
      <c r="E1109" s="72"/>
      <c r="F1109" s="350"/>
      <c r="G1109" s="289"/>
      <c r="H1109" s="290"/>
    </row>
    <row r="1110" spans="3:8" x14ac:dyDescent="0.25">
      <c r="C1110" s="73"/>
      <c r="D1110" s="72"/>
      <c r="E1110" s="72"/>
      <c r="F1110" s="350"/>
      <c r="G1110" s="289"/>
      <c r="H1110" s="290"/>
    </row>
    <row r="1111" spans="3:8" x14ac:dyDescent="0.25">
      <c r="C1111" s="73"/>
      <c r="D1111" s="72"/>
      <c r="E1111" s="72"/>
      <c r="F1111" s="350"/>
      <c r="G1111" s="289"/>
      <c r="H1111" s="290"/>
    </row>
    <row r="1112" spans="3:8" x14ac:dyDescent="0.25">
      <c r="C1112" s="73"/>
      <c r="D1112" s="72"/>
      <c r="E1112" s="72"/>
      <c r="F1112" s="350"/>
      <c r="G1112" s="289"/>
      <c r="H1112" s="290"/>
    </row>
    <row r="1113" spans="3:8" x14ac:dyDescent="0.25">
      <c r="C1113" s="73"/>
      <c r="D1113" s="72"/>
      <c r="E1113" s="72"/>
      <c r="F1113" s="350"/>
      <c r="G1113" s="289"/>
      <c r="H1113" s="290"/>
    </row>
    <row r="1114" spans="3:8" x14ac:dyDescent="0.25">
      <c r="C1114" s="73"/>
      <c r="D1114" s="72"/>
      <c r="E1114" s="72"/>
      <c r="F1114" s="350"/>
      <c r="G1114" s="289"/>
      <c r="H1114" s="290"/>
    </row>
    <row r="1115" spans="3:8" x14ac:dyDescent="0.25">
      <c r="C1115" s="73"/>
      <c r="D1115" s="72"/>
      <c r="E1115" s="72"/>
      <c r="F1115" s="350"/>
      <c r="G1115" s="289"/>
      <c r="H1115" s="290"/>
    </row>
    <row r="1116" spans="3:8" x14ac:dyDescent="0.25">
      <c r="C1116" s="73"/>
      <c r="D1116" s="72"/>
      <c r="E1116" s="72"/>
      <c r="F1116" s="350"/>
      <c r="G1116" s="289"/>
      <c r="H1116" s="290"/>
    </row>
    <row r="1117" spans="3:8" x14ac:dyDescent="0.25">
      <c r="C1117" s="73"/>
      <c r="D1117" s="72"/>
      <c r="E1117" s="72"/>
      <c r="F1117" s="350"/>
      <c r="G1117" s="289"/>
      <c r="H1117" s="290"/>
    </row>
    <row r="1118" spans="3:8" x14ac:dyDescent="0.25">
      <c r="C1118" s="73"/>
      <c r="D1118" s="72"/>
      <c r="E1118" s="72"/>
      <c r="F1118" s="350"/>
      <c r="G1118" s="289"/>
      <c r="H1118" s="290"/>
    </row>
    <row r="1119" spans="3:8" x14ac:dyDescent="0.25">
      <c r="C1119" s="73"/>
      <c r="D1119" s="72"/>
      <c r="E1119" s="72"/>
      <c r="F1119" s="350"/>
      <c r="G1119" s="289"/>
      <c r="H1119" s="290"/>
    </row>
    <row r="1120" spans="3:8" x14ac:dyDescent="0.25">
      <c r="C1120" s="73"/>
      <c r="D1120" s="72"/>
      <c r="E1120" s="72"/>
      <c r="F1120" s="350"/>
      <c r="G1120" s="289"/>
      <c r="H1120" s="290"/>
    </row>
    <row r="1121" spans="3:8" x14ac:dyDescent="0.25">
      <c r="C1121" s="73"/>
      <c r="D1121" s="72"/>
      <c r="E1121" s="72"/>
      <c r="F1121" s="350"/>
      <c r="G1121" s="289"/>
      <c r="H1121" s="290"/>
    </row>
    <row r="1122" spans="3:8" x14ac:dyDescent="0.25">
      <c r="C1122" s="73"/>
      <c r="D1122" s="72"/>
      <c r="E1122" s="72"/>
      <c r="F1122" s="350"/>
      <c r="G1122" s="289"/>
      <c r="H1122" s="290"/>
    </row>
    <row r="1123" spans="3:8" x14ac:dyDescent="0.25">
      <c r="C1123" s="73"/>
      <c r="D1123" s="72"/>
      <c r="E1123" s="72"/>
      <c r="F1123" s="350"/>
      <c r="G1123" s="289"/>
      <c r="H1123" s="290"/>
    </row>
    <row r="1124" spans="3:8" x14ac:dyDescent="0.25">
      <c r="C1124" s="73"/>
      <c r="D1124" s="72"/>
      <c r="E1124" s="72"/>
      <c r="F1124" s="350"/>
      <c r="G1124" s="289"/>
      <c r="H1124" s="290"/>
    </row>
    <row r="1125" spans="3:8" x14ac:dyDescent="0.25">
      <c r="C1125" s="73"/>
      <c r="D1125" s="72"/>
      <c r="E1125" s="72"/>
      <c r="F1125" s="350"/>
      <c r="G1125" s="289"/>
      <c r="H1125" s="290"/>
    </row>
    <row r="1126" spans="3:8" x14ac:dyDescent="0.25">
      <c r="C1126" s="73"/>
      <c r="D1126" s="72"/>
      <c r="E1126" s="72"/>
      <c r="F1126" s="350"/>
      <c r="G1126" s="289"/>
      <c r="H1126" s="290"/>
    </row>
    <row r="1127" spans="3:8" x14ac:dyDescent="0.25">
      <c r="C1127" s="73"/>
      <c r="D1127" s="72"/>
      <c r="E1127" s="72"/>
      <c r="F1127" s="350"/>
      <c r="G1127" s="289"/>
      <c r="H1127" s="290"/>
    </row>
    <row r="1128" spans="3:8" x14ac:dyDescent="0.25">
      <c r="C1128" s="73"/>
      <c r="D1128" s="72"/>
      <c r="E1128" s="72"/>
      <c r="F1128" s="350"/>
      <c r="G1128" s="289"/>
      <c r="H1128" s="290"/>
    </row>
    <row r="1129" spans="3:8" x14ac:dyDescent="0.25">
      <c r="C1129" s="73"/>
      <c r="D1129" s="72"/>
      <c r="E1129" s="72"/>
      <c r="F1129" s="350"/>
      <c r="G1129" s="289"/>
      <c r="H1129" s="290"/>
    </row>
    <row r="1130" spans="3:8" x14ac:dyDescent="0.25">
      <c r="C1130" s="73"/>
      <c r="D1130" s="72"/>
      <c r="E1130" s="72"/>
      <c r="F1130" s="350"/>
      <c r="G1130" s="289"/>
      <c r="H1130" s="290"/>
    </row>
    <row r="1131" spans="3:8" x14ac:dyDescent="0.25">
      <c r="C1131" s="73"/>
      <c r="D1131" s="72"/>
      <c r="E1131" s="72"/>
      <c r="F1131" s="350"/>
      <c r="G1131" s="289"/>
      <c r="H1131" s="290"/>
    </row>
    <row r="1132" spans="3:8" x14ac:dyDescent="0.25">
      <c r="C1132" s="73"/>
      <c r="D1132" s="72"/>
      <c r="E1132" s="72"/>
      <c r="F1132" s="350"/>
      <c r="G1132" s="289"/>
      <c r="H1132" s="290"/>
    </row>
    <row r="1133" spans="3:8" x14ac:dyDescent="0.25">
      <c r="C1133" s="73"/>
      <c r="D1133" s="72"/>
      <c r="E1133" s="72"/>
      <c r="F1133" s="350"/>
      <c r="G1133" s="289"/>
      <c r="H1133" s="290"/>
    </row>
    <row r="1134" spans="3:8" x14ac:dyDescent="0.25">
      <c r="C1134" s="73"/>
      <c r="D1134" s="72"/>
      <c r="E1134" s="72"/>
      <c r="F1134" s="350"/>
      <c r="G1134" s="289"/>
      <c r="H1134" s="290"/>
    </row>
    <row r="1135" spans="3:8" x14ac:dyDescent="0.25">
      <c r="C1135" s="73"/>
      <c r="D1135" s="72"/>
      <c r="E1135" s="72"/>
      <c r="F1135" s="350"/>
      <c r="G1135" s="289"/>
      <c r="H1135" s="290"/>
    </row>
    <row r="1136" spans="3:8" x14ac:dyDescent="0.25">
      <c r="C1136" s="73"/>
      <c r="D1136" s="72"/>
      <c r="E1136" s="72"/>
      <c r="F1136" s="350"/>
      <c r="G1136" s="289"/>
      <c r="H1136" s="290"/>
    </row>
    <row r="1137" spans="3:8" x14ac:dyDescent="0.25">
      <c r="C1137" s="73"/>
      <c r="D1137" s="72"/>
      <c r="E1137" s="72"/>
      <c r="F1137" s="350"/>
      <c r="G1137" s="289"/>
      <c r="H1137" s="290"/>
    </row>
    <row r="1138" spans="3:8" x14ac:dyDescent="0.25">
      <c r="C1138" s="73"/>
      <c r="D1138" s="72"/>
      <c r="E1138" s="72"/>
      <c r="F1138" s="350"/>
      <c r="G1138" s="289"/>
      <c r="H1138" s="290"/>
    </row>
    <row r="1139" spans="3:8" x14ac:dyDescent="0.25">
      <c r="C1139" s="73"/>
      <c r="D1139" s="72"/>
      <c r="E1139" s="72"/>
      <c r="F1139" s="350"/>
      <c r="G1139" s="289"/>
      <c r="H1139" s="290"/>
    </row>
    <row r="1140" spans="3:8" x14ac:dyDescent="0.25">
      <c r="C1140" s="73"/>
      <c r="D1140" s="72"/>
      <c r="E1140" s="72"/>
      <c r="F1140" s="350"/>
      <c r="G1140" s="289"/>
      <c r="H1140" s="290"/>
    </row>
    <row r="1141" spans="3:8" x14ac:dyDescent="0.25">
      <c r="C1141" s="73"/>
      <c r="D1141" s="72"/>
      <c r="E1141" s="72"/>
      <c r="F1141" s="350"/>
      <c r="G1141" s="289"/>
      <c r="H1141" s="290"/>
    </row>
    <row r="1142" spans="3:8" x14ac:dyDescent="0.25">
      <c r="C1142" s="73"/>
      <c r="D1142" s="72"/>
      <c r="E1142" s="72"/>
      <c r="F1142" s="350"/>
      <c r="G1142" s="289"/>
      <c r="H1142" s="290"/>
    </row>
    <row r="1143" spans="3:8" x14ac:dyDescent="0.25">
      <c r="C1143" s="73"/>
      <c r="D1143" s="72"/>
      <c r="E1143" s="72"/>
      <c r="F1143" s="350"/>
      <c r="G1143" s="289"/>
      <c r="H1143" s="290"/>
    </row>
    <row r="1144" spans="3:8" x14ac:dyDescent="0.25">
      <c r="C1144" s="73"/>
      <c r="D1144" s="72"/>
      <c r="E1144" s="72"/>
      <c r="F1144" s="350"/>
      <c r="G1144" s="289"/>
      <c r="H1144" s="290"/>
    </row>
    <row r="1145" spans="3:8" x14ac:dyDescent="0.25">
      <c r="C1145" s="73"/>
      <c r="D1145" s="72"/>
      <c r="E1145" s="72"/>
      <c r="F1145" s="350"/>
      <c r="G1145" s="289"/>
      <c r="H1145" s="290"/>
    </row>
    <row r="1146" spans="3:8" x14ac:dyDescent="0.25">
      <c r="C1146" s="73"/>
      <c r="D1146" s="72"/>
      <c r="E1146" s="72"/>
      <c r="F1146" s="350"/>
      <c r="G1146" s="289"/>
      <c r="H1146" s="290"/>
    </row>
    <row r="1147" spans="3:8" x14ac:dyDescent="0.25">
      <c r="C1147" s="73"/>
      <c r="D1147" s="72"/>
      <c r="E1147" s="72"/>
      <c r="F1147" s="350"/>
      <c r="G1147" s="289"/>
      <c r="H1147" s="290"/>
    </row>
    <row r="1148" spans="3:8" x14ac:dyDescent="0.25">
      <c r="C1148" s="73"/>
      <c r="D1148" s="72"/>
      <c r="E1148" s="72"/>
      <c r="F1148" s="350"/>
      <c r="G1148" s="289"/>
      <c r="H1148" s="290"/>
    </row>
    <row r="1149" spans="3:8" x14ac:dyDescent="0.25">
      <c r="C1149" s="73"/>
      <c r="D1149" s="72"/>
      <c r="E1149" s="72"/>
      <c r="F1149" s="350"/>
      <c r="G1149" s="289"/>
      <c r="H1149" s="290"/>
    </row>
    <row r="1150" spans="3:8" x14ac:dyDescent="0.25">
      <c r="C1150" s="73"/>
      <c r="D1150" s="72"/>
      <c r="E1150" s="72"/>
      <c r="F1150" s="350"/>
      <c r="G1150" s="289"/>
      <c r="H1150" s="290"/>
    </row>
    <row r="1151" spans="3:8" x14ac:dyDescent="0.25">
      <c r="C1151" s="73"/>
      <c r="D1151" s="72"/>
      <c r="E1151" s="72"/>
      <c r="F1151" s="350"/>
      <c r="G1151" s="289"/>
      <c r="H1151" s="290"/>
    </row>
    <row r="1152" spans="3:8" x14ac:dyDescent="0.25">
      <c r="C1152" s="73"/>
      <c r="D1152" s="72"/>
      <c r="E1152" s="72"/>
      <c r="F1152" s="350"/>
      <c r="G1152" s="289"/>
      <c r="H1152" s="290"/>
    </row>
    <row r="1153" spans="3:8" x14ac:dyDescent="0.25">
      <c r="C1153" s="73"/>
      <c r="D1153" s="72"/>
      <c r="E1153" s="72"/>
      <c r="F1153" s="350"/>
      <c r="G1153" s="289"/>
      <c r="H1153" s="290"/>
    </row>
    <row r="1154" spans="3:8" x14ac:dyDescent="0.25">
      <c r="C1154" s="73"/>
      <c r="D1154" s="72"/>
      <c r="E1154" s="72"/>
      <c r="F1154" s="350"/>
      <c r="G1154" s="289"/>
      <c r="H1154" s="290"/>
    </row>
    <row r="1155" spans="3:8" x14ac:dyDescent="0.25">
      <c r="C1155" s="73"/>
      <c r="D1155" s="72"/>
      <c r="E1155" s="72"/>
      <c r="F1155" s="350"/>
      <c r="G1155" s="289"/>
      <c r="H1155" s="290"/>
    </row>
    <row r="1156" spans="3:8" x14ac:dyDescent="0.25">
      <c r="C1156" s="73"/>
      <c r="D1156" s="72"/>
      <c r="E1156" s="72"/>
      <c r="F1156" s="350"/>
      <c r="G1156" s="289"/>
      <c r="H1156" s="290"/>
    </row>
    <row r="1157" spans="3:8" x14ac:dyDescent="0.25">
      <c r="C1157" s="73"/>
      <c r="D1157" s="72"/>
      <c r="E1157" s="72"/>
      <c r="F1157" s="350"/>
      <c r="G1157" s="289"/>
      <c r="H1157" s="290"/>
    </row>
    <row r="1158" spans="3:8" x14ac:dyDescent="0.25">
      <c r="C1158" s="73"/>
      <c r="D1158" s="72"/>
      <c r="E1158" s="72"/>
      <c r="F1158" s="350"/>
      <c r="G1158" s="289"/>
      <c r="H1158" s="290"/>
    </row>
    <row r="1159" spans="3:8" x14ac:dyDescent="0.25">
      <c r="C1159" s="73"/>
      <c r="D1159" s="72"/>
      <c r="E1159" s="72"/>
      <c r="F1159" s="350"/>
      <c r="G1159" s="289"/>
      <c r="H1159" s="290"/>
    </row>
    <row r="1160" spans="3:8" x14ac:dyDescent="0.25">
      <c r="C1160" s="73"/>
      <c r="D1160" s="72"/>
      <c r="E1160" s="72"/>
      <c r="F1160" s="350"/>
      <c r="G1160" s="289"/>
      <c r="H1160" s="290"/>
    </row>
    <row r="1161" spans="3:8" x14ac:dyDescent="0.25">
      <c r="C1161" s="73"/>
      <c r="D1161" s="72"/>
      <c r="E1161" s="72"/>
      <c r="F1161" s="350"/>
      <c r="G1161" s="289"/>
      <c r="H1161" s="290"/>
    </row>
    <row r="1162" spans="3:8" x14ac:dyDescent="0.25">
      <c r="C1162" s="73"/>
      <c r="D1162" s="72"/>
      <c r="E1162" s="72"/>
      <c r="F1162" s="350"/>
      <c r="G1162" s="289"/>
      <c r="H1162" s="290"/>
    </row>
    <row r="1163" spans="3:8" x14ac:dyDescent="0.25">
      <c r="C1163" s="73"/>
      <c r="D1163" s="72"/>
      <c r="E1163" s="72"/>
      <c r="F1163" s="350"/>
      <c r="G1163" s="289"/>
      <c r="H1163" s="290"/>
    </row>
    <row r="1164" spans="3:8" x14ac:dyDescent="0.25">
      <c r="C1164" s="73"/>
      <c r="D1164" s="72"/>
      <c r="E1164" s="72"/>
      <c r="F1164" s="350"/>
      <c r="G1164" s="289"/>
      <c r="H1164" s="290"/>
    </row>
    <row r="1165" spans="3:8" x14ac:dyDescent="0.25">
      <c r="C1165" s="73"/>
      <c r="D1165" s="72"/>
      <c r="E1165" s="72"/>
      <c r="F1165" s="350"/>
      <c r="G1165" s="289"/>
      <c r="H1165" s="290"/>
    </row>
    <row r="1166" spans="3:8" x14ac:dyDescent="0.25">
      <c r="C1166" s="73"/>
      <c r="D1166" s="72"/>
      <c r="E1166" s="72"/>
      <c r="F1166" s="350"/>
      <c r="G1166" s="289"/>
      <c r="H1166" s="290"/>
    </row>
    <row r="1167" spans="3:8" x14ac:dyDescent="0.25">
      <c r="C1167" s="73"/>
      <c r="D1167" s="72"/>
      <c r="E1167" s="72"/>
      <c r="F1167" s="350"/>
      <c r="G1167" s="289"/>
      <c r="H1167" s="290"/>
    </row>
    <row r="1168" spans="3:8" x14ac:dyDescent="0.25">
      <c r="C1168" s="73"/>
      <c r="D1168" s="72"/>
      <c r="E1168" s="72"/>
      <c r="F1168" s="350"/>
      <c r="G1168" s="289"/>
      <c r="H1168" s="290"/>
    </row>
    <row r="1169" spans="3:8" x14ac:dyDescent="0.25">
      <c r="C1169" s="73"/>
      <c r="D1169" s="72"/>
      <c r="E1169" s="72"/>
      <c r="F1169" s="350"/>
      <c r="G1169" s="289"/>
      <c r="H1169" s="290"/>
    </row>
    <row r="1170" spans="3:8" x14ac:dyDescent="0.25">
      <c r="C1170" s="73"/>
      <c r="D1170" s="72"/>
      <c r="E1170" s="72"/>
      <c r="F1170" s="350"/>
      <c r="G1170" s="289"/>
      <c r="H1170" s="290"/>
    </row>
    <row r="1171" spans="3:8" x14ac:dyDescent="0.25">
      <c r="C1171" s="73"/>
      <c r="D1171" s="72"/>
      <c r="E1171" s="72"/>
      <c r="F1171" s="350"/>
      <c r="G1171" s="289"/>
      <c r="H1171" s="290"/>
    </row>
    <row r="1172" spans="3:8" x14ac:dyDescent="0.25">
      <c r="C1172" s="73"/>
      <c r="D1172" s="72"/>
      <c r="E1172" s="72"/>
      <c r="F1172" s="350"/>
      <c r="G1172" s="289"/>
      <c r="H1172" s="290"/>
    </row>
    <row r="1173" spans="3:8" x14ac:dyDescent="0.25">
      <c r="C1173" s="73"/>
      <c r="D1173" s="72"/>
      <c r="E1173" s="72"/>
      <c r="F1173" s="350"/>
      <c r="G1173" s="289"/>
      <c r="H1173" s="290"/>
    </row>
    <row r="1174" spans="3:8" x14ac:dyDescent="0.25">
      <c r="C1174" s="73"/>
      <c r="D1174" s="72"/>
      <c r="E1174" s="72"/>
      <c r="F1174" s="350"/>
      <c r="G1174" s="289"/>
      <c r="H1174" s="290"/>
    </row>
    <row r="1175" spans="3:8" x14ac:dyDescent="0.25">
      <c r="C1175" s="73"/>
      <c r="D1175" s="72"/>
      <c r="E1175" s="72"/>
      <c r="F1175" s="350"/>
      <c r="G1175" s="289"/>
      <c r="H1175" s="290"/>
    </row>
    <row r="1176" spans="3:8" x14ac:dyDescent="0.25">
      <c r="C1176" s="73"/>
      <c r="D1176" s="72"/>
      <c r="E1176" s="72"/>
      <c r="F1176" s="350"/>
      <c r="G1176" s="289"/>
      <c r="H1176" s="290"/>
    </row>
    <row r="1177" spans="3:8" x14ac:dyDescent="0.25">
      <c r="C1177" s="73"/>
      <c r="D1177" s="72"/>
      <c r="E1177" s="72"/>
      <c r="F1177" s="350"/>
      <c r="G1177" s="289"/>
      <c r="H1177" s="290"/>
    </row>
    <row r="1178" spans="3:8" x14ac:dyDescent="0.25">
      <c r="C1178" s="73"/>
      <c r="D1178" s="72"/>
      <c r="E1178" s="72"/>
      <c r="F1178" s="350"/>
      <c r="G1178" s="289"/>
      <c r="H1178" s="290"/>
    </row>
    <row r="1179" spans="3:8" x14ac:dyDescent="0.25">
      <c r="C1179" s="73"/>
      <c r="D1179" s="72"/>
      <c r="E1179" s="72"/>
      <c r="F1179" s="350"/>
      <c r="G1179" s="289"/>
      <c r="H1179" s="290"/>
    </row>
    <row r="1180" spans="3:8" x14ac:dyDescent="0.25">
      <c r="C1180" s="73"/>
      <c r="D1180" s="72"/>
      <c r="E1180" s="72"/>
      <c r="F1180" s="350"/>
      <c r="G1180" s="289"/>
      <c r="H1180" s="290"/>
    </row>
    <row r="1181" spans="3:8" x14ac:dyDescent="0.25">
      <c r="C1181" s="73"/>
      <c r="D1181" s="72"/>
      <c r="E1181" s="72"/>
      <c r="F1181" s="350"/>
      <c r="G1181" s="289"/>
      <c r="H1181" s="290"/>
    </row>
    <row r="1182" spans="3:8" x14ac:dyDescent="0.25">
      <c r="C1182" s="73"/>
      <c r="D1182" s="72"/>
      <c r="E1182" s="72"/>
      <c r="F1182" s="350"/>
      <c r="G1182" s="289"/>
      <c r="H1182" s="290"/>
    </row>
    <row r="1183" spans="3:8" x14ac:dyDescent="0.25">
      <c r="C1183" s="73"/>
      <c r="D1183" s="72"/>
      <c r="E1183" s="72"/>
      <c r="F1183" s="350"/>
      <c r="G1183" s="289"/>
      <c r="H1183" s="290"/>
    </row>
    <row r="1184" spans="3:8" x14ac:dyDescent="0.25">
      <c r="C1184" s="73"/>
      <c r="D1184" s="72"/>
      <c r="E1184" s="72"/>
      <c r="F1184" s="350"/>
      <c r="G1184" s="289"/>
      <c r="H1184" s="290"/>
    </row>
    <row r="1185" spans="3:8" x14ac:dyDescent="0.25">
      <c r="C1185" s="73"/>
      <c r="D1185" s="72"/>
      <c r="E1185" s="72"/>
      <c r="F1185" s="350"/>
      <c r="G1185" s="289"/>
      <c r="H1185" s="290"/>
    </row>
    <row r="1186" spans="3:8" x14ac:dyDescent="0.25">
      <c r="C1186" s="73"/>
      <c r="D1186" s="72"/>
      <c r="E1186" s="72"/>
      <c r="F1186" s="350"/>
      <c r="G1186" s="289"/>
      <c r="H1186" s="290"/>
    </row>
    <row r="1187" spans="3:8" x14ac:dyDescent="0.25">
      <c r="C1187" s="73"/>
      <c r="D1187" s="72"/>
      <c r="E1187" s="72"/>
      <c r="F1187" s="350"/>
      <c r="G1187" s="289"/>
      <c r="H1187" s="290"/>
    </row>
    <row r="1188" spans="3:8" x14ac:dyDescent="0.25">
      <c r="C1188" s="73"/>
      <c r="D1188" s="72"/>
      <c r="E1188" s="72"/>
      <c r="F1188" s="350"/>
      <c r="G1188" s="289"/>
      <c r="H1188" s="290"/>
    </row>
    <row r="1189" spans="3:8" x14ac:dyDescent="0.25">
      <c r="C1189" s="73"/>
      <c r="D1189" s="72"/>
      <c r="E1189" s="72"/>
      <c r="F1189" s="350"/>
      <c r="G1189" s="289"/>
      <c r="H1189" s="290"/>
    </row>
    <row r="1190" spans="3:8" x14ac:dyDescent="0.25">
      <c r="C1190" s="73"/>
      <c r="D1190" s="72"/>
      <c r="E1190" s="72"/>
      <c r="F1190" s="350"/>
      <c r="G1190" s="289"/>
      <c r="H1190" s="290"/>
    </row>
    <row r="1191" spans="3:8" x14ac:dyDescent="0.25">
      <c r="C1191" s="73"/>
      <c r="D1191" s="72"/>
      <c r="E1191" s="72"/>
      <c r="F1191" s="350"/>
      <c r="G1191" s="289"/>
      <c r="H1191" s="290"/>
    </row>
    <row r="1192" spans="3:8" x14ac:dyDescent="0.25">
      <c r="C1192" s="73"/>
      <c r="D1192" s="72"/>
      <c r="E1192" s="72"/>
      <c r="F1192" s="350"/>
      <c r="G1192" s="289"/>
      <c r="H1192" s="290"/>
    </row>
    <row r="1193" spans="3:8" x14ac:dyDescent="0.25">
      <c r="C1193" s="73"/>
      <c r="D1193" s="72"/>
      <c r="E1193" s="72"/>
      <c r="F1193" s="350"/>
      <c r="G1193" s="289"/>
      <c r="H1193" s="290"/>
    </row>
    <row r="1194" spans="3:8" x14ac:dyDescent="0.25">
      <c r="C1194" s="73"/>
      <c r="D1194" s="72"/>
      <c r="E1194" s="72"/>
      <c r="F1194" s="350"/>
      <c r="G1194" s="289"/>
      <c r="H1194" s="290"/>
    </row>
    <row r="1195" spans="3:8" x14ac:dyDescent="0.25">
      <c r="C1195" s="73"/>
      <c r="D1195" s="72"/>
      <c r="E1195" s="72"/>
      <c r="F1195" s="350"/>
      <c r="G1195" s="289"/>
      <c r="H1195" s="290"/>
    </row>
    <row r="1196" spans="3:8" x14ac:dyDescent="0.25">
      <c r="C1196" s="73"/>
      <c r="D1196" s="72"/>
      <c r="E1196" s="72"/>
      <c r="F1196" s="350"/>
      <c r="G1196" s="289"/>
      <c r="H1196" s="290"/>
    </row>
    <row r="1197" spans="3:8" x14ac:dyDescent="0.25">
      <c r="C1197" s="73"/>
      <c r="D1197" s="72"/>
      <c r="E1197" s="72"/>
      <c r="F1197" s="350"/>
      <c r="G1197" s="289"/>
      <c r="H1197" s="290"/>
    </row>
    <row r="1198" spans="3:8" x14ac:dyDescent="0.25">
      <c r="C1198" s="73"/>
      <c r="D1198" s="72"/>
      <c r="E1198" s="72"/>
      <c r="F1198" s="350"/>
      <c r="G1198" s="289"/>
      <c r="H1198" s="290"/>
    </row>
    <row r="1199" spans="3:8" x14ac:dyDescent="0.25">
      <c r="C1199" s="73"/>
      <c r="D1199" s="72"/>
      <c r="E1199" s="72"/>
      <c r="F1199" s="350"/>
      <c r="G1199" s="289"/>
      <c r="H1199" s="290"/>
    </row>
    <row r="1200" spans="3:8" x14ac:dyDescent="0.25">
      <c r="C1200" s="73"/>
      <c r="D1200" s="72"/>
      <c r="E1200" s="72"/>
      <c r="F1200" s="350"/>
      <c r="G1200" s="289"/>
      <c r="H1200" s="290"/>
    </row>
    <row r="1201" spans="3:8" x14ac:dyDescent="0.25">
      <c r="C1201" s="73"/>
      <c r="D1201" s="72"/>
      <c r="E1201" s="72"/>
      <c r="F1201" s="350"/>
      <c r="G1201" s="289"/>
      <c r="H1201" s="290"/>
    </row>
    <row r="1202" spans="3:8" x14ac:dyDescent="0.25">
      <c r="C1202" s="73"/>
      <c r="D1202" s="72"/>
      <c r="E1202" s="72"/>
      <c r="F1202" s="350"/>
      <c r="G1202" s="289"/>
      <c r="H1202" s="290"/>
    </row>
    <row r="1203" spans="3:8" x14ac:dyDescent="0.25">
      <c r="C1203" s="73"/>
      <c r="D1203" s="72"/>
      <c r="E1203" s="72"/>
      <c r="F1203" s="350"/>
      <c r="G1203" s="289"/>
      <c r="H1203" s="290"/>
    </row>
    <row r="1204" spans="3:8" x14ac:dyDescent="0.25">
      <c r="C1204" s="73"/>
      <c r="D1204" s="72"/>
      <c r="E1204" s="72"/>
      <c r="F1204" s="350"/>
      <c r="G1204" s="289"/>
      <c r="H1204" s="290"/>
    </row>
    <row r="1205" spans="3:8" x14ac:dyDescent="0.25">
      <c r="C1205" s="73"/>
      <c r="D1205" s="72"/>
      <c r="E1205" s="72"/>
      <c r="F1205" s="350"/>
      <c r="G1205" s="289"/>
      <c r="H1205" s="290"/>
    </row>
    <row r="1206" spans="3:8" x14ac:dyDescent="0.25">
      <c r="C1206" s="73"/>
      <c r="D1206" s="72"/>
      <c r="E1206" s="72"/>
      <c r="F1206" s="350"/>
      <c r="G1206" s="289"/>
      <c r="H1206" s="290"/>
    </row>
    <row r="1207" spans="3:8" x14ac:dyDescent="0.25">
      <c r="C1207" s="73"/>
      <c r="D1207" s="72"/>
      <c r="E1207" s="72"/>
      <c r="F1207" s="350"/>
      <c r="G1207" s="289"/>
      <c r="H1207" s="290"/>
    </row>
    <row r="1208" spans="3:8" x14ac:dyDescent="0.25">
      <c r="C1208" s="73"/>
      <c r="D1208" s="72"/>
      <c r="E1208" s="72"/>
      <c r="F1208" s="350"/>
      <c r="G1208" s="289"/>
      <c r="H1208" s="290"/>
    </row>
    <row r="1209" spans="3:8" x14ac:dyDescent="0.25">
      <c r="C1209" s="73"/>
      <c r="D1209" s="72"/>
      <c r="E1209" s="72"/>
      <c r="F1209" s="350"/>
      <c r="G1209" s="289"/>
      <c r="H1209" s="290"/>
    </row>
    <row r="1210" spans="3:8" x14ac:dyDescent="0.25">
      <c r="C1210" s="73"/>
      <c r="D1210" s="72"/>
      <c r="E1210" s="72"/>
      <c r="F1210" s="350"/>
      <c r="G1210" s="289"/>
      <c r="H1210" s="290"/>
    </row>
    <row r="1211" spans="3:8" x14ac:dyDescent="0.25">
      <c r="C1211" s="73"/>
      <c r="D1211" s="72"/>
      <c r="E1211" s="72"/>
      <c r="F1211" s="350"/>
      <c r="G1211" s="289"/>
      <c r="H1211" s="290"/>
    </row>
    <row r="1212" spans="3:8" x14ac:dyDescent="0.25">
      <c r="C1212" s="73"/>
      <c r="D1212" s="72"/>
      <c r="E1212" s="72"/>
      <c r="F1212" s="350"/>
      <c r="G1212" s="289"/>
      <c r="H1212" s="290"/>
    </row>
    <row r="1213" spans="3:8" x14ac:dyDescent="0.25">
      <c r="C1213" s="73"/>
      <c r="D1213" s="72"/>
      <c r="E1213" s="72"/>
      <c r="F1213" s="350"/>
      <c r="G1213" s="289"/>
      <c r="H1213" s="290"/>
    </row>
    <row r="1214" spans="3:8" x14ac:dyDescent="0.25">
      <c r="C1214" s="73"/>
      <c r="D1214" s="72"/>
      <c r="E1214" s="72"/>
      <c r="F1214" s="350"/>
      <c r="G1214" s="289"/>
      <c r="H1214" s="290"/>
    </row>
    <row r="1215" spans="3:8" x14ac:dyDescent="0.25">
      <c r="C1215" s="73"/>
      <c r="D1215" s="72"/>
      <c r="E1215" s="72"/>
      <c r="F1215" s="350"/>
      <c r="G1215" s="289"/>
      <c r="H1215" s="290"/>
    </row>
    <row r="1216" spans="3:8" x14ac:dyDescent="0.25">
      <c r="C1216" s="73"/>
      <c r="D1216" s="72"/>
      <c r="E1216" s="72"/>
      <c r="F1216" s="350"/>
      <c r="G1216" s="289"/>
      <c r="H1216" s="290"/>
    </row>
    <row r="1217" spans="3:8" x14ac:dyDescent="0.25">
      <c r="C1217" s="73"/>
      <c r="D1217" s="72"/>
      <c r="E1217" s="72"/>
      <c r="F1217" s="350"/>
      <c r="G1217" s="289"/>
      <c r="H1217" s="290"/>
    </row>
    <row r="1218" spans="3:8" ht="29.25" customHeight="1" x14ac:dyDescent="0.25">
      <c r="C1218" s="73"/>
      <c r="D1218" s="72"/>
      <c r="E1218" s="72"/>
      <c r="F1218" s="350"/>
      <c r="G1218" s="289"/>
      <c r="H1218" s="290"/>
    </row>
    <row r="1219" spans="3:8" x14ac:dyDescent="0.25">
      <c r="C1219" s="73"/>
      <c r="D1219" s="72"/>
      <c r="E1219" s="72"/>
      <c r="F1219" s="350"/>
      <c r="G1219" s="289"/>
      <c r="H1219" s="290"/>
    </row>
    <row r="1220" spans="3:8" x14ac:dyDescent="0.25">
      <c r="C1220" s="73"/>
      <c r="D1220" s="72"/>
      <c r="E1220" s="72"/>
      <c r="F1220" s="350"/>
      <c r="G1220" s="289"/>
      <c r="H1220" s="290"/>
    </row>
    <row r="1221" spans="3:8" x14ac:dyDescent="0.25">
      <c r="C1221" s="73"/>
      <c r="D1221" s="72"/>
      <c r="E1221" s="72"/>
      <c r="F1221" s="350"/>
      <c r="G1221" s="289"/>
      <c r="H1221" s="290"/>
    </row>
    <row r="1222" spans="3:8" x14ac:dyDescent="0.25">
      <c r="C1222" s="73"/>
      <c r="D1222" s="72"/>
      <c r="E1222" s="72"/>
      <c r="F1222" s="350"/>
      <c r="G1222" s="289"/>
      <c r="H1222" s="290"/>
    </row>
    <row r="1223" spans="3:8" x14ac:dyDescent="0.25">
      <c r="C1223" s="73"/>
      <c r="D1223" s="72"/>
      <c r="E1223" s="72"/>
      <c r="F1223" s="350"/>
      <c r="G1223" s="289"/>
      <c r="H1223" s="290"/>
    </row>
    <row r="1224" spans="3:8" x14ac:dyDescent="0.25">
      <c r="C1224" s="73"/>
      <c r="D1224" s="72"/>
      <c r="E1224" s="72"/>
      <c r="F1224" s="350"/>
      <c r="G1224" s="289"/>
      <c r="H1224" s="290"/>
    </row>
    <row r="1225" spans="3:8" x14ac:dyDescent="0.25">
      <c r="C1225" s="73"/>
      <c r="D1225" s="72"/>
      <c r="E1225" s="72"/>
      <c r="F1225" s="350"/>
      <c r="G1225" s="289"/>
      <c r="H1225" s="290"/>
    </row>
    <row r="1226" spans="3:8" x14ac:dyDescent="0.25">
      <c r="C1226" s="73"/>
      <c r="D1226" s="72"/>
      <c r="E1226" s="72"/>
      <c r="F1226" s="350"/>
      <c r="G1226" s="289"/>
      <c r="H1226" s="290"/>
    </row>
    <row r="1227" spans="3:8" x14ac:dyDescent="0.25">
      <c r="C1227" s="73"/>
      <c r="D1227" s="72"/>
      <c r="E1227" s="72"/>
      <c r="F1227" s="350"/>
      <c r="G1227" s="289"/>
      <c r="H1227" s="290"/>
    </row>
    <row r="1228" spans="3:8" x14ac:dyDescent="0.25">
      <c r="C1228" s="73"/>
      <c r="D1228" s="72"/>
      <c r="E1228" s="72"/>
      <c r="F1228" s="350"/>
      <c r="G1228" s="289"/>
      <c r="H1228" s="290"/>
    </row>
    <row r="1229" spans="3:8" x14ac:dyDescent="0.25">
      <c r="C1229" s="73"/>
      <c r="D1229" s="72"/>
      <c r="E1229" s="72"/>
      <c r="F1229" s="350"/>
      <c r="G1229" s="289"/>
      <c r="H1229" s="290"/>
    </row>
    <row r="1230" spans="3:8" x14ac:dyDescent="0.25">
      <c r="C1230" s="73"/>
      <c r="D1230" s="72"/>
      <c r="E1230" s="72"/>
      <c r="F1230" s="350"/>
      <c r="G1230" s="289"/>
      <c r="H1230" s="290"/>
    </row>
    <row r="1231" spans="3:8" x14ac:dyDescent="0.25">
      <c r="C1231" s="73"/>
      <c r="D1231" s="72"/>
      <c r="E1231" s="72"/>
      <c r="F1231" s="350"/>
      <c r="G1231" s="289"/>
      <c r="H1231" s="290"/>
    </row>
    <row r="1232" spans="3:8" x14ac:dyDescent="0.25">
      <c r="C1232" s="73"/>
      <c r="D1232" s="72"/>
      <c r="E1232" s="72"/>
      <c r="F1232" s="350"/>
      <c r="G1232" s="289"/>
      <c r="H1232" s="290"/>
    </row>
    <row r="1233" spans="3:8" x14ac:dyDescent="0.25">
      <c r="C1233" s="73"/>
      <c r="D1233" s="72"/>
      <c r="E1233" s="72"/>
      <c r="F1233" s="350"/>
      <c r="G1233" s="289"/>
      <c r="H1233" s="290"/>
    </row>
    <row r="1234" spans="3:8" x14ac:dyDescent="0.25">
      <c r="C1234" s="73"/>
      <c r="D1234" s="72"/>
      <c r="E1234" s="72"/>
      <c r="F1234" s="350"/>
      <c r="G1234" s="289"/>
      <c r="H1234" s="290"/>
    </row>
    <row r="1235" spans="3:8" x14ac:dyDescent="0.25">
      <c r="C1235" s="73"/>
      <c r="D1235" s="72"/>
      <c r="E1235" s="72"/>
      <c r="F1235" s="350"/>
      <c r="G1235" s="289"/>
      <c r="H1235" s="290"/>
    </row>
    <row r="1236" spans="3:8" x14ac:dyDescent="0.25">
      <c r="C1236" s="73"/>
      <c r="D1236" s="72"/>
      <c r="E1236" s="72"/>
      <c r="F1236" s="350"/>
      <c r="G1236" s="289"/>
      <c r="H1236" s="290"/>
    </row>
    <row r="1237" spans="3:8" x14ac:dyDescent="0.25">
      <c r="C1237" s="73"/>
      <c r="D1237" s="72"/>
      <c r="E1237" s="72"/>
      <c r="F1237" s="350"/>
      <c r="G1237" s="289"/>
      <c r="H1237" s="290"/>
    </row>
    <row r="1238" spans="3:8" x14ac:dyDescent="0.25">
      <c r="C1238" s="73"/>
      <c r="D1238" s="72"/>
      <c r="E1238" s="72"/>
      <c r="F1238" s="350"/>
      <c r="G1238" s="289"/>
      <c r="H1238" s="290"/>
    </row>
    <row r="1239" spans="3:8" x14ac:dyDescent="0.25">
      <c r="C1239" s="73"/>
      <c r="D1239" s="72"/>
      <c r="E1239" s="72"/>
      <c r="F1239" s="350"/>
      <c r="G1239" s="289"/>
      <c r="H1239" s="290"/>
    </row>
    <row r="1240" spans="3:8" x14ac:dyDescent="0.25">
      <c r="C1240" s="73"/>
      <c r="D1240" s="72"/>
      <c r="E1240" s="72"/>
      <c r="F1240" s="350"/>
      <c r="G1240" s="289"/>
      <c r="H1240" s="290"/>
    </row>
    <row r="1241" spans="3:8" x14ac:dyDescent="0.25">
      <c r="C1241" s="73"/>
      <c r="D1241" s="72"/>
      <c r="E1241" s="72"/>
      <c r="F1241" s="350"/>
      <c r="G1241" s="289"/>
      <c r="H1241" s="290"/>
    </row>
    <row r="1242" spans="3:8" x14ac:dyDescent="0.25">
      <c r="C1242" s="73"/>
      <c r="D1242" s="72"/>
      <c r="E1242" s="72"/>
      <c r="F1242" s="350"/>
      <c r="G1242" s="289"/>
      <c r="H1242" s="290"/>
    </row>
    <row r="1243" spans="3:8" x14ac:dyDescent="0.25">
      <c r="C1243" s="73"/>
      <c r="D1243" s="72"/>
      <c r="E1243" s="72"/>
      <c r="F1243" s="350"/>
      <c r="G1243" s="289"/>
      <c r="H1243" s="290"/>
    </row>
    <row r="1244" spans="3:8" x14ac:dyDescent="0.25">
      <c r="C1244" s="73"/>
      <c r="D1244" s="72"/>
      <c r="E1244" s="72"/>
      <c r="F1244" s="350"/>
      <c r="G1244" s="289"/>
      <c r="H1244" s="290"/>
    </row>
    <row r="1245" spans="3:8" x14ac:dyDescent="0.25">
      <c r="C1245" s="73"/>
      <c r="D1245" s="72"/>
      <c r="E1245" s="72"/>
      <c r="F1245" s="350"/>
      <c r="G1245" s="289"/>
      <c r="H1245" s="290"/>
    </row>
    <row r="1246" spans="3:8" x14ac:dyDescent="0.25">
      <c r="C1246" s="73"/>
      <c r="D1246" s="72"/>
      <c r="E1246" s="72"/>
      <c r="F1246" s="350"/>
      <c r="G1246" s="289"/>
      <c r="H1246" s="290"/>
    </row>
    <row r="1247" spans="3:8" x14ac:dyDescent="0.25">
      <c r="C1247" s="73"/>
      <c r="D1247" s="72"/>
      <c r="E1247" s="72"/>
      <c r="F1247" s="350"/>
      <c r="G1247" s="289"/>
      <c r="H1247" s="290"/>
    </row>
    <row r="1248" spans="3:8" x14ac:dyDescent="0.25">
      <c r="C1248" s="73"/>
      <c r="D1248" s="72"/>
      <c r="E1248" s="72"/>
      <c r="F1248" s="350"/>
      <c r="G1248" s="289"/>
      <c r="H1248" s="290"/>
    </row>
    <row r="1249" spans="3:8" x14ac:dyDescent="0.25">
      <c r="C1249" s="73"/>
      <c r="D1249" s="72"/>
      <c r="E1249" s="72"/>
      <c r="F1249" s="350"/>
      <c r="G1249" s="289"/>
      <c r="H1249" s="290"/>
    </row>
    <row r="1250" spans="3:8" x14ac:dyDescent="0.25">
      <c r="C1250" s="73"/>
      <c r="D1250" s="72"/>
      <c r="E1250" s="72"/>
      <c r="F1250" s="350"/>
      <c r="G1250" s="289"/>
      <c r="H1250" s="290"/>
    </row>
    <row r="1251" spans="3:8" x14ac:dyDescent="0.25">
      <c r="C1251" s="73"/>
      <c r="D1251" s="72"/>
      <c r="E1251" s="72"/>
      <c r="F1251" s="350"/>
      <c r="G1251" s="289"/>
      <c r="H1251" s="290"/>
    </row>
    <row r="1252" spans="3:8" x14ac:dyDescent="0.25">
      <c r="C1252" s="73"/>
      <c r="D1252" s="72"/>
      <c r="E1252" s="72"/>
      <c r="F1252" s="350"/>
      <c r="G1252" s="289"/>
      <c r="H1252" s="290"/>
    </row>
    <row r="1253" spans="3:8" x14ac:dyDescent="0.25">
      <c r="C1253" s="73"/>
      <c r="D1253" s="72"/>
      <c r="E1253" s="72"/>
      <c r="F1253" s="350"/>
      <c r="G1253" s="289"/>
      <c r="H1253" s="290"/>
    </row>
    <row r="1254" spans="3:8" x14ac:dyDescent="0.25">
      <c r="C1254" s="73"/>
      <c r="D1254" s="72"/>
      <c r="E1254" s="72"/>
      <c r="F1254" s="350"/>
      <c r="G1254" s="289"/>
      <c r="H1254" s="290"/>
    </row>
    <row r="1255" spans="3:8" x14ac:dyDescent="0.25">
      <c r="C1255" s="73"/>
      <c r="D1255" s="72"/>
      <c r="E1255" s="72"/>
      <c r="F1255" s="350"/>
      <c r="G1255" s="289"/>
      <c r="H1255" s="290"/>
    </row>
    <row r="1256" spans="3:8" x14ac:dyDescent="0.25">
      <c r="C1256" s="73"/>
      <c r="D1256" s="72"/>
      <c r="E1256" s="72"/>
      <c r="F1256" s="350"/>
      <c r="G1256" s="289"/>
      <c r="H1256" s="290"/>
    </row>
    <row r="1257" spans="3:8" x14ac:dyDescent="0.25">
      <c r="C1257" s="73"/>
      <c r="D1257" s="72"/>
      <c r="E1257" s="72"/>
      <c r="F1257" s="350"/>
      <c r="G1257" s="289"/>
      <c r="H1257" s="290"/>
    </row>
    <row r="1258" spans="3:8" x14ac:dyDescent="0.25">
      <c r="C1258" s="73"/>
      <c r="D1258" s="72"/>
      <c r="E1258" s="72"/>
      <c r="F1258" s="350"/>
      <c r="G1258" s="289"/>
      <c r="H1258" s="290"/>
    </row>
    <row r="1259" spans="3:8" x14ac:dyDescent="0.25">
      <c r="C1259" s="73"/>
      <c r="D1259" s="72"/>
      <c r="E1259" s="72"/>
      <c r="F1259" s="350"/>
      <c r="G1259" s="289"/>
      <c r="H1259" s="290"/>
    </row>
    <row r="1260" spans="3:8" x14ac:dyDescent="0.25">
      <c r="C1260" s="73"/>
      <c r="D1260" s="72"/>
      <c r="E1260" s="72"/>
      <c r="F1260" s="350"/>
      <c r="G1260" s="289"/>
      <c r="H1260" s="290"/>
    </row>
    <row r="1261" spans="3:8" x14ac:dyDescent="0.25">
      <c r="C1261" s="73"/>
      <c r="D1261" s="72"/>
      <c r="E1261" s="72"/>
      <c r="F1261" s="350"/>
      <c r="G1261" s="289"/>
      <c r="H1261" s="290"/>
    </row>
    <row r="1262" spans="3:8" x14ac:dyDescent="0.25">
      <c r="C1262" s="73"/>
      <c r="D1262" s="72"/>
      <c r="E1262" s="72"/>
      <c r="F1262" s="350"/>
      <c r="G1262" s="289"/>
      <c r="H1262" s="290"/>
    </row>
    <row r="1263" spans="3:8" x14ac:dyDescent="0.25">
      <c r="C1263" s="73"/>
      <c r="D1263" s="72"/>
      <c r="E1263" s="72"/>
      <c r="F1263" s="350"/>
      <c r="G1263" s="289"/>
      <c r="H1263" s="290"/>
    </row>
    <row r="1264" spans="3:8" x14ac:dyDescent="0.25">
      <c r="C1264" s="73"/>
      <c r="D1264" s="72"/>
      <c r="E1264" s="72"/>
      <c r="F1264" s="350"/>
      <c r="G1264" s="289"/>
      <c r="H1264" s="290"/>
    </row>
    <row r="1265" spans="3:8" x14ac:dyDescent="0.25">
      <c r="C1265" s="73"/>
      <c r="D1265" s="72"/>
      <c r="E1265" s="72"/>
      <c r="F1265" s="350"/>
      <c r="G1265" s="289"/>
      <c r="H1265" s="290"/>
    </row>
    <row r="1266" spans="3:8" x14ac:dyDescent="0.25">
      <c r="C1266" s="73"/>
      <c r="D1266" s="72"/>
      <c r="E1266" s="72"/>
      <c r="F1266" s="350"/>
      <c r="G1266" s="289"/>
      <c r="H1266" s="290"/>
    </row>
    <row r="1267" spans="3:8" x14ac:dyDescent="0.25">
      <c r="C1267" s="73"/>
      <c r="D1267" s="72"/>
      <c r="E1267" s="72"/>
      <c r="F1267" s="350"/>
      <c r="G1267" s="289"/>
      <c r="H1267" s="290"/>
    </row>
    <row r="1268" spans="3:8" x14ac:dyDescent="0.25">
      <c r="C1268" s="73"/>
      <c r="D1268" s="72"/>
      <c r="E1268" s="72"/>
      <c r="F1268" s="350"/>
      <c r="G1268" s="289"/>
      <c r="H1268" s="290"/>
    </row>
    <row r="1269" spans="3:8" x14ac:dyDescent="0.25">
      <c r="C1269" s="73"/>
      <c r="D1269" s="72"/>
      <c r="E1269" s="72"/>
      <c r="F1269" s="350"/>
      <c r="G1269" s="289"/>
      <c r="H1269" s="290"/>
    </row>
    <row r="1270" spans="3:8" x14ac:dyDescent="0.25">
      <c r="C1270" s="73"/>
      <c r="D1270" s="72"/>
      <c r="E1270" s="72"/>
      <c r="F1270" s="350"/>
      <c r="G1270" s="289"/>
      <c r="H1270" s="290"/>
    </row>
    <row r="1271" spans="3:8" x14ac:dyDescent="0.25">
      <c r="C1271" s="73"/>
      <c r="D1271" s="72"/>
      <c r="E1271" s="72"/>
      <c r="F1271" s="350"/>
      <c r="G1271" s="289"/>
      <c r="H1271" s="290"/>
    </row>
    <row r="1272" spans="3:8" x14ac:dyDescent="0.25">
      <c r="C1272" s="73"/>
      <c r="D1272" s="72"/>
      <c r="E1272" s="72"/>
      <c r="F1272" s="350"/>
      <c r="G1272" s="289"/>
      <c r="H1272" s="290"/>
    </row>
    <row r="1273" spans="3:8" x14ac:dyDescent="0.25">
      <c r="C1273" s="73"/>
      <c r="D1273" s="72"/>
      <c r="E1273" s="72"/>
      <c r="F1273" s="350"/>
      <c r="G1273" s="289"/>
      <c r="H1273" s="290"/>
    </row>
    <row r="1274" spans="3:8" x14ac:dyDescent="0.25">
      <c r="C1274" s="73"/>
      <c r="D1274" s="72"/>
      <c r="E1274" s="72"/>
      <c r="F1274" s="350"/>
      <c r="G1274" s="289"/>
      <c r="H1274" s="290"/>
    </row>
    <row r="1275" spans="3:8" x14ac:dyDescent="0.25">
      <c r="C1275" s="73"/>
      <c r="D1275" s="72"/>
      <c r="E1275" s="72"/>
      <c r="F1275" s="350"/>
      <c r="G1275" s="289"/>
      <c r="H1275" s="290"/>
    </row>
    <row r="1276" spans="3:8" x14ac:dyDescent="0.25">
      <c r="C1276" s="73"/>
      <c r="D1276" s="72"/>
      <c r="E1276" s="72"/>
      <c r="F1276" s="350"/>
      <c r="G1276" s="289"/>
      <c r="H1276" s="290"/>
    </row>
    <row r="1277" spans="3:8" x14ac:dyDescent="0.25">
      <c r="C1277" s="73"/>
      <c r="D1277" s="72"/>
      <c r="E1277" s="72"/>
      <c r="F1277" s="350"/>
      <c r="G1277" s="289"/>
      <c r="H1277" s="290"/>
    </row>
    <row r="1278" spans="3:8" x14ac:dyDescent="0.25">
      <c r="C1278" s="73"/>
      <c r="D1278" s="72"/>
      <c r="E1278" s="72"/>
      <c r="F1278" s="350"/>
      <c r="G1278" s="289"/>
      <c r="H1278" s="290"/>
    </row>
    <row r="1279" spans="3:8" x14ac:dyDescent="0.25">
      <c r="C1279" s="73"/>
      <c r="D1279" s="72"/>
      <c r="E1279" s="72"/>
      <c r="F1279" s="350"/>
      <c r="G1279" s="289"/>
      <c r="H1279" s="290"/>
    </row>
    <row r="1280" spans="3:8" x14ac:dyDescent="0.25">
      <c r="C1280" s="73"/>
      <c r="D1280" s="72"/>
      <c r="E1280" s="72"/>
      <c r="F1280" s="350"/>
      <c r="G1280" s="289"/>
      <c r="H1280" s="290"/>
    </row>
    <row r="1281" spans="3:8" x14ac:dyDescent="0.25">
      <c r="C1281" s="73"/>
      <c r="D1281" s="72"/>
      <c r="E1281" s="72"/>
      <c r="F1281" s="350"/>
      <c r="G1281" s="289"/>
      <c r="H1281" s="290"/>
    </row>
    <row r="1282" spans="3:8" x14ac:dyDescent="0.25">
      <c r="C1282" s="73"/>
      <c r="D1282" s="72"/>
      <c r="E1282" s="72"/>
      <c r="F1282" s="350"/>
      <c r="G1282" s="289"/>
      <c r="H1282" s="290"/>
    </row>
    <row r="1283" spans="3:8" x14ac:dyDescent="0.25">
      <c r="C1283" s="73"/>
      <c r="D1283" s="72"/>
      <c r="E1283" s="72"/>
      <c r="F1283" s="350"/>
      <c r="G1283" s="289"/>
      <c r="H1283" s="290"/>
    </row>
    <row r="1284" spans="3:8" x14ac:dyDescent="0.25">
      <c r="C1284" s="73"/>
      <c r="D1284" s="72"/>
      <c r="E1284" s="72"/>
      <c r="F1284" s="350"/>
      <c r="G1284" s="289"/>
      <c r="H1284" s="290"/>
    </row>
    <row r="1285" spans="3:8" x14ac:dyDescent="0.25">
      <c r="C1285" s="73"/>
      <c r="D1285" s="72"/>
      <c r="E1285" s="72"/>
      <c r="F1285" s="350"/>
      <c r="G1285" s="289"/>
      <c r="H1285" s="290"/>
    </row>
    <row r="1286" spans="3:8" x14ac:dyDescent="0.25">
      <c r="C1286" s="73"/>
      <c r="D1286" s="72"/>
      <c r="E1286" s="72"/>
      <c r="F1286" s="350"/>
      <c r="G1286" s="289"/>
      <c r="H1286" s="290"/>
    </row>
    <row r="1287" spans="3:8" x14ac:dyDescent="0.25">
      <c r="C1287" s="73"/>
      <c r="D1287" s="72"/>
      <c r="E1287" s="72"/>
      <c r="F1287" s="350"/>
      <c r="G1287" s="289"/>
      <c r="H1287" s="290"/>
    </row>
    <row r="1288" spans="3:8" x14ac:dyDescent="0.25">
      <c r="C1288" s="73"/>
      <c r="D1288" s="72"/>
      <c r="E1288" s="72"/>
      <c r="F1288" s="350"/>
      <c r="G1288" s="289"/>
      <c r="H1288" s="290"/>
    </row>
    <row r="1289" spans="3:8" x14ac:dyDescent="0.25">
      <c r="C1289" s="73"/>
      <c r="D1289" s="72"/>
      <c r="E1289" s="72"/>
      <c r="F1289" s="350"/>
      <c r="G1289" s="289"/>
      <c r="H1289" s="290"/>
    </row>
    <row r="1290" spans="3:8" x14ac:dyDescent="0.25">
      <c r="C1290" s="73"/>
      <c r="D1290" s="72"/>
      <c r="E1290" s="72"/>
      <c r="F1290" s="350"/>
      <c r="G1290" s="289"/>
      <c r="H1290" s="290"/>
    </row>
    <row r="1291" spans="3:8" x14ac:dyDescent="0.25">
      <c r="C1291" s="73"/>
      <c r="D1291" s="72"/>
      <c r="E1291" s="72"/>
      <c r="F1291" s="350"/>
      <c r="G1291" s="289"/>
      <c r="H1291" s="290"/>
    </row>
    <row r="1292" spans="3:8" x14ac:dyDescent="0.25">
      <c r="C1292" s="73"/>
      <c r="D1292" s="72"/>
      <c r="E1292" s="72"/>
      <c r="F1292" s="350"/>
      <c r="G1292" s="289"/>
      <c r="H1292" s="290"/>
    </row>
    <row r="1293" spans="3:8" x14ac:dyDescent="0.25">
      <c r="C1293" s="73"/>
      <c r="D1293" s="72"/>
      <c r="E1293" s="72"/>
      <c r="F1293" s="350"/>
      <c r="G1293" s="289"/>
      <c r="H1293" s="290"/>
    </row>
    <row r="1294" spans="3:8" x14ac:dyDescent="0.25">
      <c r="C1294" s="73"/>
      <c r="D1294" s="72"/>
      <c r="E1294" s="72"/>
      <c r="F1294" s="350"/>
      <c r="G1294" s="289"/>
      <c r="H1294" s="290"/>
    </row>
    <row r="1295" spans="3:8" x14ac:dyDescent="0.25">
      <c r="C1295" s="73"/>
      <c r="D1295" s="72"/>
      <c r="E1295" s="72"/>
      <c r="F1295" s="350"/>
      <c r="G1295" s="289"/>
      <c r="H1295" s="290"/>
    </row>
    <row r="1296" spans="3:8" x14ac:dyDescent="0.25">
      <c r="C1296" s="73"/>
      <c r="D1296" s="72"/>
      <c r="E1296" s="72"/>
      <c r="F1296" s="350"/>
      <c r="G1296" s="289"/>
      <c r="H1296" s="290"/>
    </row>
    <row r="1297" spans="3:8" x14ac:dyDescent="0.25">
      <c r="C1297" s="73"/>
      <c r="D1297" s="72"/>
      <c r="E1297" s="72"/>
      <c r="F1297" s="350"/>
      <c r="G1297" s="289"/>
      <c r="H1297" s="290"/>
    </row>
    <row r="1298" spans="3:8" x14ac:dyDescent="0.25">
      <c r="C1298" s="73"/>
      <c r="D1298" s="72"/>
      <c r="E1298" s="72"/>
      <c r="F1298" s="350"/>
      <c r="G1298" s="289"/>
      <c r="H1298" s="290"/>
    </row>
    <row r="1299" spans="3:8" x14ac:dyDescent="0.25">
      <c r="C1299" s="73"/>
      <c r="D1299" s="72"/>
      <c r="E1299" s="72"/>
      <c r="F1299" s="350"/>
      <c r="G1299" s="289"/>
      <c r="H1299" s="290"/>
    </row>
    <row r="1300" spans="3:8" x14ac:dyDescent="0.25">
      <c r="C1300" s="73"/>
      <c r="D1300" s="72"/>
      <c r="E1300" s="72"/>
      <c r="F1300" s="350"/>
      <c r="G1300" s="289"/>
      <c r="H1300" s="290"/>
    </row>
    <row r="1301" spans="3:8" x14ac:dyDescent="0.25">
      <c r="C1301" s="73"/>
      <c r="D1301" s="72"/>
      <c r="E1301" s="72"/>
      <c r="F1301" s="350"/>
      <c r="G1301" s="289"/>
      <c r="H1301" s="290"/>
    </row>
    <row r="1302" spans="3:8" x14ac:dyDescent="0.25">
      <c r="C1302" s="73"/>
      <c r="D1302" s="72"/>
      <c r="E1302" s="72"/>
      <c r="F1302" s="350"/>
      <c r="G1302" s="289"/>
      <c r="H1302" s="290"/>
    </row>
    <row r="1303" spans="3:8" x14ac:dyDescent="0.25">
      <c r="C1303" s="73"/>
      <c r="D1303" s="72"/>
      <c r="E1303" s="72"/>
      <c r="F1303" s="350"/>
      <c r="G1303" s="289"/>
      <c r="H1303" s="290"/>
    </row>
    <row r="1304" spans="3:8" x14ac:dyDescent="0.25">
      <c r="C1304" s="73"/>
      <c r="D1304" s="72"/>
      <c r="E1304" s="72"/>
      <c r="F1304" s="350"/>
      <c r="G1304" s="289"/>
      <c r="H1304" s="290"/>
    </row>
    <row r="1305" spans="3:8" x14ac:dyDescent="0.25">
      <c r="C1305" s="73"/>
      <c r="D1305" s="72"/>
      <c r="E1305" s="72"/>
      <c r="F1305" s="350"/>
      <c r="G1305" s="289"/>
      <c r="H1305" s="290"/>
    </row>
    <row r="1306" spans="3:8" x14ac:dyDescent="0.25">
      <c r="C1306" s="73"/>
      <c r="D1306" s="72"/>
      <c r="E1306" s="72"/>
      <c r="F1306" s="350"/>
      <c r="G1306" s="289"/>
      <c r="H1306" s="290"/>
    </row>
    <row r="1307" spans="3:8" x14ac:dyDescent="0.25">
      <c r="C1307" s="73"/>
      <c r="D1307" s="72"/>
      <c r="E1307" s="72"/>
      <c r="F1307" s="350"/>
      <c r="G1307" s="289"/>
      <c r="H1307" s="290"/>
    </row>
    <row r="1308" spans="3:8" x14ac:dyDescent="0.25">
      <c r="C1308" s="73"/>
      <c r="D1308" s="72"/>
      <c r="E1308" s="72"/>
      <c r="F1308" s="350"/>
      <c r="G1308" s="289"/>
      <c r="H1308" s="290"/>
    </row>
    <row r="1309" spans="3:8" x14ac:dyDescent="0.25">
      <c r="C1309" s="73"/>
      <c r="D1309" s="72"/>
      <c r="E1309" s="72"/>
      <c r="F1309" s="350"/>
      <c r="G1309" s="289"/>
      <c r="H1309" s="290"/>
    </row>
    <row r="1310" spans="3:8" x14ac:dyDescent="0.25">
      <c r="C1310" s="73"/>
      <c r="D1310" s="72"/>
      <c r="E1310" s="72"/>
      <c r="F1310" s="350"/>
      <c r="G1310" s="289"/>
      <c r="H1310" s="290"/>
    </row>
    <row r="1311" spans="3:8" x14ac:dyDescent="0.25">
      <c r="C1311" s="73"/>
      <c r="D1311" s="72"/>
      <c r="E1311" s="72"/>
      <c r="F1311" s="350"/>
      <c r="G1311" s="289"/>
      <c r="H1311" s="290"/>
    </row>
    <row r="1312" spans="3:8" x14ac:dyDescent="0.25">
      <c r="C1312" s="73"/>
      <c r="D1312" s="72"/>
      <c r="E1312" s="72"/>
      <c r="F1312" s="350"/>
      <c r="G1312" s="289"/>
      <c r="H1312" s="290"/>
    </row>
    <row r="1313" spans="3:8" x14ac:dyDescent="0.25">
      <c r="C1313" s="73"/>
      <c r="D1313" s="72"/>
      <c r="E1313" s="72"/>
      <c r="F1313" s="350"/>
      <c r="G1313" s="289"/>
      <c r="H1313" s="290"/>
    </row>
    <row r="1314" spans="3:8" x14ac:dyDescent="0.25">
      <c r="C1314" s="73"/>
      <c r="D1314" s="72"/>
      <c r="E1314" s="72"/>
      <c r="F1314" s="350"/>
      <c r="G1314" s="289"/>
      <c r="H1314" s="290"/>
    </row>
    <row r="1315" spans="3:8" x14ac:dyDescent="0.25">
      <c r="C1315" s="73"/>
      <c r="D1315" s="72"/>
      <c r="E1315" s="72"/>
      <c r="F1315" s="350"/>
      <c r="G1315" s="289"/>
      <c r="H1315" s="290"/>
    </row>
    <row r="1316" spans="3:8" x14ac:dyDescent="0.25">
      <c r="C1316" s="73"/>
      <c r="D1316" s="72"/>
      <c r="E1316" s="72"/>
      <c r="F1316" s="350"/>
      <c r="G1316" s="289"/>
      <c r="H1316" s="290"/>
    </row>
    <row r="1317" spans="3:8" x14ac:dyDescent="0.25">
      <c r="C1317" s="73"/>
      <c r="D1317" s="72"/>
      <c r="E1317" s="72"/>
      <c r="F1317" s="350"/>
      <c r="G1317" s="289"/>
      <c r="H1317" s="290"/>
    </row>
    <row r="1318" spans="3:8" x14ac:dyDescent="0.25">
      <c r="C1318" s="73"/>
      <c r="D1318" s="72"/>
      <c r="E1318" s="72"/>
      <c r="F1318" s="350"/>
      <c r="G1318" s="289"/>
      <c r="H1318" s="290"/>
    </row>
    <row r="1319" spans="3:8" x14ac:dyDescent="0.25">
      <c r="C1319" s="73"/>
      <c r="D1319" s="72"/>
      <c r="E1319" s="72"/>
      <c r="F1319" s="350"/>
      <c r="G1319" s="289"/>
      <c r="H1319" s="290"/>
    </row>
    <row r="1320" spans="3:8" x14ac:dyDescent="0.25">
      <c r="C1320" s="73"/>
      <c r="D1320" s="72"/>
      <c r="E1320" s="72"/>
      <c r="F1320" s="350"/>
      <c r="G1320" s="289"/>
      <c r="H1320" s="290"/>
    </row>
    <row r="1321" spans="3:8" x14ac:dyDescent="0.25">
      <c r="C1321" s="73"/>
      <c r="D1321" s="72"/>
      <c r="E1321" s="72"/>
      <c r="F1321" s="350"/>
      <c r="G1321" s="289"/>
      <c r="H1321" s="290"/>
    </row>
    <row r="1322" spans="3:8" x14ac:dyDescent="0.25">
      <c r="C1322" s="73"/>
      <c r="D1322" s="72"/>
      <c r="E1322" s="72"/>
      <c r="F1322" s="350"/>
      <c r="G1322" s="289"/>
      <c r="H1322" s="290"/>
    </row>
    <row r="1323" spans="3:8" x14ac:dyDescent="0.25">
      <c r="C1323" s="73"/>
      <c r="D1323" s="72"/>
      <c r="E1323" s="72"/>
      <c r="F1323" s="350"/>
      <c r="G1323" s="289"/>
      <c r="H1323" s="290"/>
    </row>
    <row r="1324" spans="3:8" x14ac:dyDescent="0.25">
      <c r="C1324" s="73"/>
      <c r="D1324" s="72"/>
      <c r="E1324" s="72"/>
      <c r="F1324" s="350"/>
      <c r="G1324" s="289"/>
      <c r="H1324" s="290"/>
    </row>
    <row r="1325" spans="3:8" x14ac:dyDescent="0.25">
      <c r="C1325" s="73"/>
      <c r="D1325" s="72"/>
      <c r="E1325" s="72"/>
      <c r="F1325" s="350"/>
      <c r="G1325" s="289"/>
      <c r="H1325" s="290"/>
    </row>
    <row r="1326" spans="3:8" x14ac:dyDescent="0.25">
      <c r="C1326" s="73"/>
      <c r="D1326" s="72"/>
      <c r="E1326" s="72"/>
      <c r="F1326" s="350"/>
      <c r="G1326" s="289"/>
      <c r="H1326" s="290"/>
    </row>
    <row r="1327" spans="3:8" x14ac:dyDescent="0.25">
      <c r="C1327" s="73"/>
      <c r="D1327" s="72"/>
      <c r="E1327" s="72"/>
      <c r="F1327" s="350"/>
      <c r="G1327" s="289"/>
      <c r="H1327" s="290"/>
    </row>
    <row r="1328" spans="3:8" x14ac:dyDescent="0.25">
      <c r="C1328" s="73"/>
      <c r="D1328" s="72"/>
      <c r="E1328" s="72"/>
      <c r="F1328" s="350"/>
      <c r="G1328" s="289"/>
      <c r="H1328" s="290"/>
    </row>
    <row r="1329" spans="3:8" x14ac:dyDescent="0.25">
      <c r="C1329" s="73"/>
      <c r="D1329" s="72"/>
      <c r="E1329" s="72"/>
      <c r="F1329" s="350"/>
      <c r="G1329" s="289"/>
      <c r="H1329" s="290"/>
    </row>
    <row r="1330" spans="3:8" x14ac:dyDescent="0.25">
      <c r="C1330" s="73"/>
      <c r="D1330" s="72"/>
      <c r="E1330" s="72"/>
      <c r="F1330" s="350"/>
      <c r="G1330" s="289"/>
      <c r="H1330" s="290"/>
    </row>
    <row r="1331" spans="3:8" x14ac:dyDescent="0.25">
      <c r="C1331" s="73"/>
      <c r="D1331" s="72"/>
      <c r="E1331" s="72"/>
      <c r="F1331" s="350"/>
      <c r="G1331" s="289"/>
      <c r="H1331" s="290"/>
    </row>
    <row r="1332" spans="3:8" x14ac:dyDescent="0.25">
      <c r="C1332" s="73"/>
      <c r="D1332" s="72"/>
      <c r="E1332" s="72"/>
      <c r="F1332" s="350"/>
      <c r="G1332" s="289"/>
      <c r="H1332" s="290"/>
    </row>
    <row r="1333" spans="3:8" x14ac:dyDescent="0.25">
      <c r="C1333" s="73"/>
      <c r="D1333" s="72"/>
      <c r="E1333" s="72"/>
      <c r="F1333" s="350"/>
      <c r="G1333" s="289"/>
      <c r="H1333" s="290"/>
    </row>
    <row r="1334" spans="3:8" x14ac:dyDescent="0.25">
      <c r="C1334" s="73"/>
      <c r="D1334" s="72"/>
      <c r="E1334" s="72"/>
      <c r="F1334" s="350"/>
      <c r="G1334" s="289"/>
      <c r="H1334" s="290"/>
    </row>
    <row r="1335" spans="3:8" x14ac:dyDescent="0.25">
      <c r="C1335" s="73"/>
      <c r="D1335" s="72"/>
      <c r="E1335" s="72"/>
      <c r="F1335" s="350"/>
      <c r="G1335" s="289"/>
      <c r="H1335" s="290"/>
    </row>
    <row r="1336" spans="3:8" x14ac:dyDescent="0.25">
      <c r="C1336" s="73"/>
      <c r="D1336" s="72"/>
      <c r="E1336" s="72"/>
      <c r="F1336" s="350"/>
      <c r="G1336" s="289"/>
      <c r="H1336" s="290"/>
    </row>
    <row r="1337" spans="3:8" x14ac:dyDescent="0.25">
      <c r="C1337" s="73"/>
      <c r="D1337" s="72"/>
      <c r="E1337" s="72"/>
      <c r="F1337" s="350"/>
      <c r="G1337" s="289"/>
      <c r="H1337" s="290"/>
    </row>
    <row r="1338" spans="3:8" x14ac:dyDescent="0.25">
      <c r="C1338" s="73"/>
      <c r="D1338" s="72"/>
      <c r="E1338" s="72"/>
      <c r="F1338" s="350"/>
      <c r="G1338" s="289"/>
      <c r="H1338" s="290"/>
    </row>
    <row r="1339" spans="3:8" x14ac:dyDescent="0.25">
      <c r="C1339" s="73"/>
      <c r="D1339" s="72"/>
      <c r="E1339" s="72"/>
      <c r="F1339" s="350"/>
      <c r="G1339" s="289"/>
      <c r="H1339" s="290"/>
    </row>
    <row r="1340" spans="3:8" x14ac:dyDescent="0.25">
      <c r="C1340" s="73"/>
      <c r="D1340" s="72"/>
      <c r="E1340" s="72"/>
      <c r="F1340" s="350"/>
      <c r="G1340" s="289"/>
      <c r="H1340" s="290"/>
    </row>
    <row r="1341" spans="3:8" x14ac:dyDescent="0.25">
      <c r="C1341" s="73"/>
      <c r="D1341" s="72"/>
      <c r="E1341" s="72"/>
      <c r="F1341" s="350"/>
      <c r="G1341" s="289"/>
      <c r="H1341" s="290"/>
    </row>
    <row r="1342" spans="3:8" x14ac:dyDescent="0.25">
      <c r="C1342" s="73"/>
      <c r="D1342" s="72"/>
      <c r="E1342" s="72"/>
      <c r="F1342" s="350"/>
      <c r="G1342" s="289"/>
      <c r="H1342" s="290"/>
    </row>
    <row r="1343" spans="3:8" x14ac:dyDescent="0.25">
      <c r="C1343" s="73"/>
      <c r="D1343" s="72"/>
      <c r="E1343" s="72"/>
      <c r="F1343" s="350"/>
      <c r="G1343" s="289"/>
      <c r="H1343" s="290"/>
    </row>
    <row r="1344" spans="3:8" x14ac:dyDescent="0.25">
      <c r="C1344" s="73"/>
      <c r="D1344" s="72"/>
      <c r="E1344" s="72"/>
      <c r="F1344" s="350"/>
      <c r="G1344" s="289"/>
      <c r="H1344" s="290"/>
    </row>
    <row r="1345" spans="3:8" x14ac:dyDescent="0.25">
      <c r="C1345" s="73"/>
      <c r="D1345" s="72"/>
      <c r="E1345" s="72"/>
      <c r="F1345" s="350"/>
      <c r="G1345" s="289"/>
      <c r="H1345" s="290"/>
    </row>
    <row r="1346" spans="3:8" x14ac:dyDescent="0.25">
      <c r="C1346" s="73"/>
      <c r="D1346" s="72"/>
      <c r="E1346" s="72"/>
      <c r="F1346" s="350"/>
      <c r="G1346" s="289"/>
      <c r="H1346" s="290"/>
    </row>
    <row r="1347" spans="3:8" x14ac:dyDescent="0.25">
      <c r="C1347" s="73"/>
      <c r="D1347" s="72"/>
      <c r="E1347" s="72"/>
      <c r="F1347" s="350"/>
      <c r="G1347" s="289"/>
      <c r="H1347" s="290"/>
    </row>
    <row r="1348" spans="3:8" x14ac:dyDescent="0.25">
      <c r="C1348" s="73"/>
      <c r="D1348" s="72"/>
      <c r="E1348" s="72"/>
      <c r="F1348" s="350"/>
      <c r="G1348" s="289"/>
      <c r="H1348" s="290"/>
    </row>
    <row r="1349" spans="3:8" x14ac:dyDescent="0.25">
      <c r="C1349" s="73"/>
      <c r="D1349" s="72"/>
      <c r="E1349" s="72"/>
      <c r="F1349" s="350"/>
      <c r="G1349" s="289"/>
      <c r="H1349" s="290"/>
    </row>
    <row r="1350" spans="3:8" x14ac:dyDescent="0.25">
      <c r="C1350" s="73"/>
      <c r="D1350" s="72"/>
      <c r="E1350" s="72"/>
      <c r="F1350" s="350"/>
      <c r="G1350" s="289"/>
      <c r="H1350" s="290"/>
    </row>
    <row r="1351" spans="3:8" x14ac:dyDescent="0.25">
      <c r="C1351" s="73"/>
      <c r="D1351" s="72"/>
      <c r="E1351" s="72"/>
      <c r="F1351" s="350"/>
      <c r="G1351" s="289"/>
      <c r="H1351" s="290"/>
    </row>
    <row r="1352" spans="3:8" x14ac:dyDescent="0.25">
      <c r="C1352" s="73"/>
      <c r="D1352" s="72"/>
      <c r="E1352" s="72"/>
      <c r="F1352" s="350"/>
      <c r="G1352" s="289"/>
      <c r="H1352" s="290"/>
    </row>
    <row r="1353" spans="3:8" x14ac:dyDescent="0.25">
      <c r="C1353" s="73"/>
      <c r="D1353" s="72"/>
      <c r="E1353" s="72"/>
      <c r="F1353" s="350"/>
      <c r="G1353" s="289"/>
      <c r="H1353" s="290"/>
    </row>
    <row r="1354" spans="3:8" x14ac:dyDescent="0.25">
      <c r="C1354" s="73"/>
      <c r="D1354" s="72"/>
      <c r="E1354" s="72"/>
      <c r="F1354" s="350"/>
      <c r="G1354" s="289"/>
      <c r="H1354" s="290"/>
    </row>
    <row r="1355" spans="3:8" x14ac:dyDescent="0.25">
      <c r="C1355" s="73"/>
      <c r="D1355" s="72"/>
      <c r="E1355" s="72"/>
      <c r="F1355" s="350"/>
      <c r="G1355" s="289"/>
      <c r="H1355" s="290"/>
    </row>
    <row r="1356" spans="3:8" x14ac:dyDescent="0.25">
      <c r="C1356" s="73"/>
      <c r="D1356" s="72"/>
      <c r="E1356" s="72"/>
      <c r="F1356" s="350"/>
      <c r="G1356" s="289"/>
      <c r="H1356" s="290"/>
    </row>
    <row r="1357" spans="3:8" x14ac:dyDescent="0.25">
      <c r="C1357" s="73"/>
      <c r="D1357" s="72"/>
      <c r="E1357" s="72"/>
      <c r="F1357" s="350"/>
      <c r="G1357" s="289"/>
      <c r="H1357" s="290"/>
    </row>
    <row r="1358" spans="3:8" x14ac:dyDescent="0.25">
      <c r="C1358" s="73"/>
      <c r="D1358" s="72"/>
      <c r="E1358" s="72"/>
      <c r="F1358" s="350"/>
      <c r="G1358" s="289"/>
      <c r="H1358" s="290"/>
    </row>
    <row r="1359" spans="3:8" x14ac:dyDescent="0.25">
      <c r="C1359" s="73"/>
      <c r="D1359" s="72"/>
      <c r="E1359" s="72"/>
      <c r="F1359" s="350"/>
      <c r="G1359" s="289"/>
      <c r="H1359" s="290"/>
    </row>
    <row r="1360" spans="3:8" x14ac:dyDescent="0.25">
      <c r="C1360" s="73"/>
      <c r="D1360" s="72"/>
      <c r="E1360" s="72"/>
      <c r="F1360" s="350"/>
      <c r="G1360" s="289"/>
      <c r="H1360" s="290"/>
    </row>
    <row r="1361" spans="3:8" x14ac:dyDescent="0.25">
      <c r="C1361" s="73"/>
      <c r="D1361" s="72"/>
      <c r="E1361" s="72"/>
      <c r="F1361" s="350"/>
      <c r="G1361" s="289"/>
      <c r="H1361" s="290"/>
    </row>
    <row r="1362" spans="3:8" x14ac:dyDescent="0.25">
      <c r="C1362" s="73"/>
      <c r="D1362" s="72"/>
      <c r="E1362" s="72"/>
      <c r="F1362" s="350"/>
      <c r="G1362" s="289"/>
      <c r="H1362" s="290"/>
    </row>
    <row r="1363" spans="3:8" x14ac:dyDescent="0.25">
      <c r="C1363" s="73"/>
      <c r="D1363" s="72"/>
      <c r="E1363" s="72"/>
      <c r="F1363" s="350"/>
      <c r="G1363" s="289"/>
      <c r="H1363" s="290"/>
    </row>
    <row r="1364" spans="3:8" x14ac:dyDescent="0.25">
      <c r="C1364" s="73"/>
      <c r="D1364" s="72"/>
      <c r="E1364" s="72"/>
      <c r="F1364" s="350"/>
      <c r="G1364" s="289"/>
      <c r="H1364" s="290"/>
    </row>
    <row r="1365" spans="3:8" x14ac:dyDescent="0.25">
      <c r="C1365" s="73"/>
      <c r="D1365" s="72"/>
      <c r="E1365" s="72"/>
      <c r="F1365" s="350"/>
      <c r="G1365" s="289"/>
      <c r="H1365" s="290"/>
    </row>
    <row r="1366" spans="3:8" x14ac:dyDescent="0.25">
      <c r="C1366" s="73"/>
      <c r="D1366" s="72"/>
      <c r="E1366" s="72"/>
      <c r="F1366" s="350"/>
      <c r="G1366" s="289"/>
      <c r="H1366" s="290"/>
    </row>
    <row r="1367" spans="3:8" x14ac:dyDescent="0.25">
      <c r="C1367" s="73"/>
      <c r="D1367" s="72"/>
      <c r="E1367" s="72"/>
      <c r="F1367" s="350"/>
      <c r="G1367" s="289"/>
      <c r="H1367" s="290"/>
    </row>
    <row r="1368" spans="3:8" x14ac:dyDescent="0.25">
      <c r="C1368" s="73"/>
      <c r="D1368" s="72"/>
      <c r="E1368" s="72"/>
      <c r="F1368" s="350"/>
      <c r="G1368" s="289"/>
      <c r="H1368" s="290"/>
    </row>
    <row r="1369" spans="3:8" x14ac:dyDescent="0.25">
      <c r="C1369" s="73"/>
      <c r="D1369" s="72"/>
      <c r="E1369" s="72"/>
      <c r="F1369" s="350"/>
      <c r="G1369" s="289"/>
      <c r="H1369" s="290"/>
    </row>
    <row r="1370" spans="3:8" x14ac:dyDescent="0.25">
      <c r="C1370" s="73"/>
      <c r="D1370" s="72"/>
      <c r="E1370" s="72"/>
      <c r="F1370" s="350"/>
      <c r="G1370" s="289"/>
      <c r="H1370" s="290"/>
    </row>
    <row r="1371" spans="3:8" x14ac:dyDescent="0.25">
      <c r="C1371" s="73"/>
      <c r="D1371" s="72"/>
      <c r="E1371" s="72"/>
      <c r="F1371" s="350"/>
      <c r="G1371" s="289"/>
      <c r="H1371" s="290"/>
    </row>
    <row r="1372" spans="3:8" x14ac:dyDescent="0.25">
      <c r="C1372" s="73"/>
      <c r="D1372" s="72"/>
      <c r="E1372" s="72"/>
      <c r="F1372" s="350"/>
      <c r="G1372" s="289"/>
      <c r="H1372" s="290"/>
    </row>
    <row r="1373" spans="3:8" x14ac:dyDescent="0.25">
      <c r="C1373" s="73"/>
      <c r="D1373" s="72"/>
      <c r="E1373" s="72"/>
      <c r="F1373" s="350"/>
      <c r="G1373" s="289"/>
      <c r="H1373" s="290"/>
    </row>
    <row r="1374" spans="3:8" x14ac:dyDescent="0.25">
      <c r="C1374" s="73"/>
      <c r="D1374" s="72"/>
      <c r="E1374" s="72"/>
      <c r="F1374" s="350"/>
      <c r="G1374" s="289"/>
      <c r="H1374" s="290"/>
    </row>
    <row r="1375" spans="3:8" x14ac:dyDescent="0.25">
      <c r="C1375" s="73"/>
      <c r="D1375" s="72"/>
      <c r="E1375" s="72"/>
      <c r="F1375" s="350"/>
      <c r="G1375" s="289"/>
      <c r="H1375" s="290"/>
    </row>
    <row r="1376" spans="3:8" x14ac:dyDescent="0.25">
      <c r="C1376" s="73"/>
      <c r="D1376" s="72"/>
      <c r="E1376" s="72"/>
      <c r="F1376" s="350"/>
      <c r="G1376" s="289"/>
      <c r="H1376" s="290"/>
    </row>
    <row r="1377" spans="3:8" x14ac:dyDescent="0.25">
      <c r="C1377" s="73"/>
      <c r="D1377" s="72"/>
      <c r="E1377" s="72"/>
      <c r="F1377" s="350"/>
      <c r="G1377" s="289"/>
      <c r="H1377" s="290"/>
    </row>
    <row r="1378" spans="3:8" x14ac:dyDescent="0.25">
      <c r="C1378" s="73"/>
      <c r="D1378" s="72"/>
      <c r="E1378" s="72"/>
      <c r="F1378" s="350"/>
      <c r="G1378" s="289"/>
      <c r="H1378" s="290"/>
    </row>
    <row r="1379" spans="3:8" x14ac:dyDescent="0.25">
      <c r="C1379" s="73"/>
      <c r="D1379" s="72"/>
      <c r="E1379" s="72"/>
      <c r="F1379" s="350"/>
      <c r="G1379" s="289"/>
      <c r="H1379" s="290"/>
    </row>
    <row r="1380" spans="3:8" x14ac:dyDescent="0.25">
      <c r="C1380" s="73"/>
      <c r="D1380" s="72"/>
      <c r="E1380" s="72"/>
      <c r="F1380" s="350"/>
      <c r="G1380" s="289"/>
      <c r="H1380" s="290"/>
    </row>
    <row r="1381" spans="3:8" x14ac:dyDescent="0.25">
      <c r="C1381" s="73"/>
      <c r="D1381" s="72"/>
      <c r="E1381" s="72"/>
      <c r="F1381" s="350"/>
      <c r="G1381" s="289"/>
      <c r="H1381" s="290"/>
    </row>
    <row r="1382" spans="3:8" x14ac:dyDescent="0.25">
      <c r="C1382" s="73"/>
      <c r="D1382" s="72"/>
      <c r="E1382" s="72"/>
      <c r="F1382" s="350"/>
      <c r="G1382" s="289"/>
      <c r="H1382" s="290"/>
    </row>
    <row r="1383" spans="3:8" x14ac:dyDescent="0.25">
      <c r="C1383" s="73"/>
      <c r="D1383" s="72"/>
      <c r="E1383" s="72"/>
      <c r="F1383" s="350"/>
      <c r="G1383" s="289"/>
      <c r="H1383" s="290"/>
    </row>
    <row r="1384" spans="3:8" x14ac:dyDescent="0.25">
      <c r="C1384" s="73"/>
      <c r="D1384" s="72"/>
      <c r="E1384" s="72"/>
      <c r="F1384" s="350"/>
      <c r="G1384" s="289"/>
      <c r="H1384" s="290"/>
    </row>
    <row r="1385" spans="3:8" x14ac:dyDescent="0.25">
      <c r="C1385" s="73"/>
      <c r="D1385" s="72"/>
      <c r="E1385" s="72"/>
      <c r="F1385" s="350"/>
      <c r="G1385" s="289"/>
      <c r="H1385" s="290"/>
    </row>
    <row r="1386" spans="3:8" x14ac:dyDescent="0.25">
      <c r="C1386" s="73"/>
      <c r="D1386" s="72"/>
      <c r="E1386" s="72"/>
      <c r="F1386" s="350"/>
      <c r="G1386" s="289"/>
      <c r="H1386" s="290"/>
    </row>
    <row r="1387" spans="3:8" x14ac:dyDescent="0.25">
      <c r="C1387" s="73"/>
      <c r="D1387" s="72"/>
      <c r="E1387" s="72"/>
      <c r="F1387" s="350"/>
      <c r="G1387" s="289"/>
      <c r="H1387" s="290"/>
    </row>
    <row r="1388" spans="3:8" x14ac:dyDescent="0.25">
      <c r="C1388" s="73"/>
      <c r="D1388" s="72"/>
      <c r="E1388" s="72"/>
      <c r="F1388" s="350"/>
      <c r="G1388" s="289"/>
      <c r="H1388" s="290"/>
    </row>
    <row r="1389" spans="3:8" x14ac:dyDescent="0.25">
      <c r="C1389" s="73"/>
      <c r="D1389" s="72"/>
      <c r="E1389" s="72"/>
      <c r="F1389" s="350"/>
      <c r="G1389" s="289"/>
      <c r="H1389" s="290"/>
    </row>
    <row r="1390" spans="3:8" x14ac:dyDescent="0.25">
      <c r="C1390" s="73"/>
      <c r="D1390" s="72"/>
      <c r="E1390" s="72"/>
      <c r="F1390" s="350"/>
      <c r="G1390" s="289"/>
      <c r="H1390" s="290"/>
    </row>
    <row r="1391" spans="3:8" x14ac:dyDescent="0.25">
      <c r="C1391" s="73"/>
      <c r="D1391" s="72"/>
      <c r="E1391" s="72"/>
      <c r="F1391" s="350"/>
      <c r="G1391" s="289"/>
      <c r="H1391" s="290"/>
    </row>
    <row r="1392" spans="3:8" x14ac:dyDescent="0.25">
      <c r="C1392" s="73"/>
      <c r="D1392" s="72"/>
      <c r="E1392" s="72"/>
      <c r="F1392" s="350"/>
      <c r="G1392" s="289"/>
      <c r="H1392" s="290"/>
    </row>
    <row r="1393" spans="3:8" x14ac:dyDescent="0.25">
      <c r="C1393" s="73"/>
      <c r="D1393" s="72"/>
      <c r="E1393" s="72"/>
      <c r="F1393" s="350"/>
      <c r="G1393" s="289"/>
      <c r="H1393" s="290"/>
    </row>
    <row r="1394" spans="3:8" x14ac:dyDescent="0.25">
      <c r="C1394" s="73"/>
      <c r="D1394" s="72"/>
      <c r="E1394" s="72"/>
      <c r="F1394" s="350"/>
      <c r="G1394" s="289"/>
      <c r="H1394" s="290"/>
    </row>
    <row r="1395" spans="3:8" x14ac:dyDescent="0.25">
      <c r="C1395" s="73"/>
      <c r="D1395" s="72"/>
      <c r="E1395" s="72"/>
      <c r="F1395" s="350"/>
      <c r="G1395" s="289"/>
      <c r="H1395" s="290"/>
    </row>
    <row r="1396" spans="3:8" x14ac:dyDescent="0.25">
      <c r="C1396" s="73"/>
      <c r="D1396" s="72"/>
      <c r="E1396" s="72"/>
      <c r="F1396" s="350"/>
      <c r="G1396" s="289"/>
      <c r="H1396" s="290"/>
    </row>
    <row r="1397" spans="3:8" x14ac:dyDescent="0.25">
      <c r="C1397" s="73"/>
      <c r="D1397" s="72"/>
      <c r="E1397" s="72"/>
      <c r="F1397" s="350"/>
      <c r="G1397" s="289"/>
      <c r="H1397" s="290"/>
    </row>
    <row r="1398" spans="3:8" x14ac:dyDescent="0.25">
      <c r="C1398" s="73"/>
      <c r="D1398" s="72"/>
      <c r="E1398" s="72"/>
      <c r="F1398" s="350"/>
      <c r="G1398" s="289"/>
      <c r="H1398" s="290"/>
    </row>
    <row r="1399" spans="3:8" x14ac:dyDescent="0.25">
      <c r="C1399" s="73"/>
      <c r="D1399" s="72"/>
      <c r="E1399" s="72"/>
      <c r="F1399" s="350"/>
      <c r="G1399" s="289"/>
      <c r="H1399" s="290"/>
    </row>
    <row r="1400" spans="3:8" x14ac:dyDescent="0.25">
      <c r="C1400" s="73"/>
      <c r="D1400" s="72"/>
      <c r="E1400" s="72"/>
      <c r="F1400" s="350"/>
      <c r="G1400" s="289"/>
      <c r="H1400" s="290"/>
    </row>
    <row r="1401" spans="3:8" x14ac:dyDescent="0.25">
      <c r="C1401" s="73"/>
      <c r="D1401" s="72"/>
      <c r="E1401" s="72"/>
      <c r="F1401" s="350"/>
      <c r="G1401" s="289"/>
      <c r="H1401" s="290"/>
    </row>
    <row r="1402" spans="3:8" x14ac:dyDescent="0.25">
      <c r="C1402" s="73"/>
      <c r="D1402" s="72"/>
      <c r="E1402" s="72"/>
      <c r="F1402" s="350"/>
      <c r="G1402" s="289"/>
      <c r="H1402" s="290"/>
    </row>
    <row r="1403" spans="3:8" x14ac:dyDescent="0.25">
      <c r="C1403" s="73"/>
      <c r="D1403" s="72"/>
      <c r="E1403" s="72"/>
      <c r="F1403" s="350"/>
      <c r="G1403" s="289"/>
      <c r="H1403" s="290"/>
    </row>
    <row r="1404" spans="3:8" x14ac:dyDescent="0.25">
      <c r="C1404" s="73"/>
      <c r="D1404" s="72"/>
      <c r="E1404" s="72"/>
      <c r="F1404" s="350"/>
      <c r="G1404" s="289"/>
      <c r="H1404" s="290"/>
    </row>
    <row r="1405" spans="3:8" x14ac:dyDescent="0.25">
      <c r="C1405" s="73"/>
      <c r="D1405" s="72"/>
      <c r="E1405" s="72"/>
      <c r="F1405" s="350"/>
      <c r="G1405" s="289"/>
      <c r="H1405" s="290"/>
    </row>
    <row r="1406" spans="3:8" x14ac:dyDescent="0.25">
      <c r="C1406" s="73"/>
      <c r="D1406" s="72"/>
      <c r="E1406" s="72"/>
      <c r="F1406" s="350"/>
      <c r="G1406" s="289"/>
      <c r="H1406" s="290"/>
    </row>
    <row r="1407" spans="3:8" x14ac:dyDescent="0.25">
      <c r="C1407" s="73"/>
      <c r="D1407" s="72"/>
      <c r="E1407" s="72"/>
      <c r="F1407" s="350"/>
      <c r="G1407" s="289"/>
      <c r="H1407" s="290"/>
    </row>
    <row r="1408" spans="3:8" x14ac:dyDescent="0.25">
      <c r="C1408" s="73"/>
      <c r="D1408" s="72"/>
      <c r="E1408" s="72"/>
      <c r="F1408" s="350"/>
      <c r="G1408" s="289"/>
      <c r="H1408" s="290"/>
    </row>
    <row r="1409" spans="3:8" x14ac:dyDescent="0.25">
      <c r="C1409" s="73"/>
      <c r="D1409" s="72"/>
      <c r="E1409" s="72"/>
      <c r="F1409" s="350"/>
      <c r="G1409" s="289"/>
      <c r="H1409" s="290"/>
    </row>
    <row r="1410" spans="3:8" x14ac:dyDescent="0.25">
      <c r="C1410" s="73"/>
      <c r="D1410" s="72"/>
      <c r="E1410" s="72"/>
      <c r="F1410" s="350"/>
      <c r="G1410" s="289"/>
      <c r="H1410" s="290"/>
    </row>
    <row r="1411" spans="3:8" x14ac:dyDescent="0.25">
      <c r="C1411" s="73"/>
      <c r="D1411" s="72"/>
      <c r="E1411" s="72"/>
      <c r="F1411" s="350"/>
      <c r="G1411" s="289"/>
      <c r="H1411" s="290"/>
    </row>
    <row r="1412" spans="3:8" x14ac:dyDescent="0.25">
      <c r="C1412" s="73"/>
      <c r="D1412" s="72"/>
      <c r="E1412" s="72"/>
      <c r="F1412" s="350"/>
      <c r="G1412" s="289"/>
      <c r="H1412" s="290"/>
    </row>
    <row r="1413" spans="3:8" x14ac:dyDescent="0.25">
      <c r="C1413" s="73"/>
      <c r="D1413" s="72"/>
      <c r="E1413" s="72"/>
      <c r="F1413" s="350"/>
      <c r="G1413" s="289"/>
      <c r="H1413" s="290"/>
    </row>
    <row r="1414" spans="3:8" x14ac:dyDescent="0.25">
      <c r="C1414" s="73"/>
      <c r="D1414" s="72"/>
      <c r="E1414" s="72"/>
      <c r="F1414" s="350"/>
      <c r="G1414" s="289"/>
      <c r="H1414" s="290"/>
    </row>
    <row r="1415" spans="3:8" x14ac:dyDescent="0.25">
      <c r="C1415" s="73"/>
      <c r="D1415" s="72"/>
      <c r="E1415" s="72"/>
      <c r="F1415" s="350"/>
      <c r="G1415" s="289"/>
      <c r="H1415" s="290"/>
    </row>
    <row r="1416" spans="3:8" x14ac:dyDescent="0.25">
      <c r="C1416" s="73"/>
      <c r="D1416" s="72"/>
      <c r="E1416" s="72"/>
      <c r="F1416" s="350"/>
      <c r="G1416" s="289"/>
      <c r="H1416" s="290"/>
    </row>
    <row r="1417" spans="3:8" x14ac:dyDescent="0.25">
      <c r="C1417" s="73"/>
      <c r="D1417" s="72"/>
      <c r="E1417" s="72"/>
      <c r="F1417" s="350"/>
      <c r="G1417" s="289"/>
      <c r="H1417" s="290"/>
    </row>
    <row r="1418" spans="3:8" x14ac:dyDescent="0.25">
      <c r="C1418" s="73"/>
      <c r="D1418" s="72"/>
      <c r="E1418" s="72"/>
      <c r="F1418" s="350"/>
      <c r="G1418" s="289"/>
      <c r="H1418" s="290"/>
    </row>
    <row r="1419" spans="3:8" x14ac:dyDescent="0.25">
      <c r="C1419" s="73"/>
      <c r="D1419" s="72"/>
      <c r="E1419" s="72"/>
      <c r="F1419" s="350"/>
      <c r="G1419" s="289"/>
      <c r="H1419" s="290"/>
    </row>
    <row r="1420" spans="3:8" x14ac:dyDescent="0.25">
      <c r="C1420" s="73"/>
      <c r="D1420" s="72"/>
      <c r="E1420" s="72"/>
      <c r="F1420" s="350"/>
      <c r="G1420" s="289"/>
      <c r="H1420" s="290"/>
    </row>
    <row r="1421" spans="3:8" x14ac:dyDescent="0.25">
      <c r="C1421" s="73"/>
      <c r="D1421" s="72"/>
      <c r="E1421" s="72"/>
      <c r="F1421" s="350"/>
      <c r="G1421" s="289"/>
      <c r="H1421" s="290"/>
    </row>
    <row r="1422" spans="3:8" x14ac:dyDescent="0.25">
      <c r="C1422" s="73"/>
      <c r="D1422" s="72"/>
      <c r="E1422" s="72"/>
      <c r="F1422" s="350"/>
      <c r="G1422" s="289"/>
      <c r="H1422" s="290"/>
    </row>
    <row r="1423" spans="3:8" x14ac:dyDescent="0.25">
      <c r="C1423" s="73"/>
      <c r="D1423" s="72"/>
      <c r="E1423" s="72"/>
      <c r="F1423" s="350"/>
      <c r="G1423" s="289"/>
      <c r="H1423" s="290"/>
    </row>
    <row r="1424" spans="3:8" x14ac:dyDescent="0.25">
      <c r="C1424" s="73"/>
      <c r="D1424" s="72"/>
      <c r="E1424" s="72"/>
      <c r="F1424" s="350"/>
      <c r="G1424" s="289"/>
      <c r="H1424" s="290"/>
    </row>
    <row r="1425" spans="3:8" x14ac:dyDescent="0.25">
      <c r="C1425" s="73"/>
      <c r="D1425" s="72"/>
      <c r="E1425" s="72"/>
      <c r="F1425" s="350"/>
      <c r="G1425" s="289"/>
      <c r="H1425" s="290"/>
    </row>
    <row r="1426" spans="3:8" x14ac:dyDescent="0.25">
      <c r="C1426" s="73"/>
      <c r="D1426" s="72"/>
      <c r="E1426" s="72"/>
      <c r="F1426" s="350"/>
      <c r="G1426" s="289"/>
      <c r="H1426" s="290"/>
    </row>
    <row r="1427" spans="3:8" x14ac:dyDescent="0.25">
      <c r="C1427" s="73"/>
      <c r="D1427" s="72"/>
      <c r="E1427" s="72"/>
      <c r="F1427" s="350"/>
      <c r="G1427" s="289"/>
      <c r="H1427" s="290"/>
    </row>
    <row r="1428" spans="3:8" x14ac:dyDescent="0.25">
      <c r="C1428" s="73"/>
      <c r="D1428" s="72"/>
      <c r="E1428" s="72"/>
      <c r="F1428" s="350"/>
      <c r="G1428" s="289"/>
      <c r="H1428" s="290"/>
    </row>
    <row r="1429" spans="3:8" x14ac:dyDescent="0.25">
      <c r="C1429" s="73"/>
      <c r="D1429" s="72"/>
      <c r="E1429" s="72"/>
      <c r="F1429" s="350"/>
      <c r="G1429" s="289"/>
      <c r="H1429" s="290"/>
    </row>
    <row r="1430" spans="3:8" x14ac:dyDescent="0.25">
      <c r="C1430" s="73"/>
      <c r="D1430" s="72"/>
      <c r="E1430" s="72"/>
      <c r="F1430" s="350"/>
      <c r="G1430" s="289"/>
      <c r="H1430" s="290"/>
    </row>
    <row r="1431" spans="3:8" x14ac:dyDescent="0.25">
      <c r="C1431" s="73"/>
      <c r="D1431" s="72"/>
      <c r="E1431" s="72"/>
      <c r="F1431" s="350"/>
      <c r="G1431" s="289"/>
      <c r="H1431" s="290"/>
    </row>
    <row r="1432" spans="3:8" x14ac:dyDescent="0.25">
      <c r="C1432" s="73"/>
      <c r="D1432" s="72"/>
      <c r="E1432" s="72"/>
      <c r="F1432" s="350"/>
      <c r="G1432" s="289"/>
      <c r="H1432" s="290"/>
    </row>
    <row r="1433" spans="3:8" x14ac:dyDescent="0.25">
      <c r="C1433" s="73"/>
      <c r="D1433" s="72"/>
      <c r="E1433" s="72"/>
      <c r="F1433" s="350"/>
      <c r="G1433" s="289"/>
      <c r="H1433" s="290"/>
    </row>
    <row r="1434" spans="3:8" x14ac:dyDescent="0.25">
      <c r="C1434" s="73"/>
      <c r="D1434" s="72"/>
      <c r="E1434" s="72"/>
      <c r="F1434" s="350"/>
      <c r="G1434" s="289"/>
      <c r="H1434" s="290"/>
    </row>
    <row r="1435" spans="3:8" x14ac:dyDescent="0.25">
      <c r="C1435" s="73"/>
      <c r="D1435" s="72"/>
      <c r="E1435" s="72"/>
      <c r="F1435" s="350"/>
      <c r="G1435" s="289"/>
      <c r="H1435" s="290"/>
    </row>
    <row r="1436" spans="3:8" x14ac:dyDescent="0.25">
      <c r="C1436" s="73"/>
      <c r="D1436" s="72"/>
      <c r="E1436" s="72"/>
      <c r="F1436" s="350"/>
      <c r="G1436" s="289"/>
      <c r="H1436" s="290"/>
    </row>
    <row r="1437" spans="3:8" x14ac:dyDescent="0.25">
      <c r="C1437" s="73"/>
      <c r="D1437" s="72"/>
      <c r="E1437" s="72"/>
      <c r="F1437" s="350"/>
      <c r="G1437" s="289"/>
      <c r="H1437" s="290"/>
    </row>
    <row r="1438" spans="3:8" x14ac:dyDescent="0.25">
      <c r="C1438" s="73"/>
      <c r="D1438" s="72"/>
      <c r="E1438" s="72"/>
      <c r="F1438" s="350"/>
      <c r="G1438" s="289"/>
      <c r="H1438" s="290"/>
    </row>
    <row r="1439" spans="3:8" x14ac:dyDescent="0.25">
      <c r="C1439" s="73"/>
      <c r="D1439" s="72"/>
      <c r="E1439" s="72"/>
      <c r="F1439" s="350"/>
      <c r="G1439" s="289"/>
      <c r="H1439" s="290"/>
    </row>
    <row r="1440" spans="3:8" x14ac:dyDescent="0.25">
      <c r="C1440" s="73"/>
      <c r="D1440" s="72"/>
      <c r="E1440" s="72"/>
      <c r="F1440" s="350"/>
      <c r="G1440" s="289"/>
      <c r="H1440" s="290"/>
    </row>
    <row r="1441" spans="3:8" x14ac:dyDescent="0.25">
      <c r="C1441" s="73"/>
      <c r="D1441" s="72"/>
      <c r="E1441" s="72"/>
      <c r="F1441" s="350"/>
      <c r="G1441" s="289"/>
      <c r="H1441" s="290"/>
    </row>
    <row r="1442" spans="3:8" x14ac:dyDescent="0.25">
      <c r="C1442" s="73"/>
      <c r="D1442" s="72"/>
      <c r="E1442" s="72"/>
      <c r="F1442" s="350"/>
      <c r="G1442" s="289"/>
      <c r="H1442" s="290"/>
    </row>
    <row r="1443" spans="3:8" x14ac:dyDescent="0.25">
      <c r="C1443" s="73"/>
      <c r="D1443" s="72"/>
      <c r="E1443" s="72"/>
      <c r="F1443" s="350"/>
      <c r="G1443" s="289"/>
      <c r="H1443" s="290"/>
    </row>
    <row r="1444" spans="3:8" x14ac:dyDescent="0.25">
      <c r="C1444" s="73"/>
      <c r="D1444" s="72"/>
      <c r="E1444" s="72"/>
      <c r="F1444" s="350"/>
      <c r="G1444" s="289"/>
      <c r="H1444" s="290"/>
    </row>
    <row r="1445" spans="3:8" x14ac:dyDescent="0.25">
      <c r="C1445" s="73"/>
      <c r="D1445" s="72"/>
      <c r="E1445" s="72"/>
      <c r="F1445" s="350"/>
      <c r="G1445" s="289"/>
      <c r="H1445" s="290"/>
    </row>
    <row r="1446" spans="3:8" x14ac:dyDescent="0.25">
      <c r="C1446" s="73"/>
      <c r="D1446" s="72"/>
      <c r="E1446" s="72"/>
      <c r="F1446" s="350"/>
      <c r="G1446" s="289"/>
      <c r="H1446" s="290"/>
    </row>
    <row r="1447" spans="3:8" x14ac:dyDescent="0.25">
      <c r="C1447" s="73"/>
      <c r="D1447" s="72"/>
      <c r="E1447" s="72"/>
      <c r="F1447" s="350"/>
      <c r="G1447" s="289"/>
      <c r="H1447" s="290"/>
    </row>
    <row r="1448" spans="3:8" x14ac:dyDescent="0.25">
      <c r="C1448" s="73"/>
      <c r="D1448" s="72"/>
      <c r="E1448" s="72"/>
      <c r="F1448" s="350"/>
      <c r="G1448" s="289"/>
      <c r="H1448" s="290"/>
    </row>
    <row r="1449" spans="3:8" x14ac:dyDescent="0.25">
      <c r="C1449" s="73"/>
      <c r="D1449" s="72"/>
      <c r="E1449" s="72"/>
      <c r="F1449" s="350"/>
      <c r="G1449" s="289"/>
      <c r="H1449" s="290"/>
    </row>
    <row r="1450" spans="3:8" x14ac:dyDescent="0.25">
      <c r="C1450" s="73"/>
      <c r="D1450" s="72"/>
      <c r="E1450" s="72"/>
      <c r="F1450" s="350"/>
      <c r="G1450" s="289"/>
      <c r="H1450" s="290"/>
    </row>
    <row r="1451" spans="3:8" x14ac:dyDescent="0.25">
      <c r="C1451" s="73"/>
      <c r="D1451" s="72"/>
      <c r="E1451" s="72"/>
      <c r="F1451" s="350"/>
      <c r="G1451" s="289"/>
      <c r="H1451" s="290"/>
    </row>
    <row r="1452" spans="3:8" x14ac:dyDescent="0.25">
      <c r="C1452" s="73"/>
      <c r="D1452" s="72"/>
      <c r="E1452" s="72"/>
      <c r="F1452" s="350"/>
      <c r="G1452" s="289"/>
      <c r="H1452" s="290"/>
    </row>
    <row r="1453" spans="3:8" x14ac:dyDescent="0.25">
      <c r="C1453" s="73"/>
      <c r="D1453" s="72"/>
      <c r="E1453" s="72"/>
      <c r="F1453" s="350"/>
      <c r="G1453" s="289"/>
      <c r="H1453" s="290"/>
    </row>
    <row r="1454" spans="3:8" x14ac:dyDescent="0.25">
      <c r="C1454" s="73"/>
      <c r="D1454" s="72"/>
      <c r="E1454" s="72"/>
      <c r="F1454" s="350"/>
      <c r="G1454" s="289"/>
      <c r="H1454" s="290"/>
    </row>
    <row r="1455" spans="3:8" x14ac:dyDescent="0.25">
      <c r="C1455" s="73"/>
      <c r="D1455" s="72"/>
      <c r="E1455" s="72"/>
      <c r="F1455" s="350"/>
      <c r="G1455" s="289"/>
      <c r="H1455" s="290"/>
    </row>
    <row r="1456" spans="3:8" x14ac:dyDescent="0.25">
      <c r="C1456" s="73"/>
      <c r="D1456" s="72"/>
      <c r="E1456" s="72"/>
      <c r="F1456" s="350"/>
      <c r="G1456" s="289"/>
      <c r="H1456" s="290"/>
    </row>
    <row r="1457" spans="3:8" x14ac:dyDescent="0.25">
      <c r="C1457" s="73"/>
      <c r="D1457" s="72"/>
      <c r="E1457" s="72"/>
      <c r="F1457" s="350"/>
      <c r="G1457" s="289"/>
      <c r="H1457" s="290"/>
    </row>
    <row r="1458" spans="3:8" x14ac:dyDescent="0.25">
      <c r="C1458" s="73"/>
      <c r="D1458" s="72"/>
      <c r="E1458" s="72"/>
      <c r="F1458" s="350"/>
      <c r="G1458" s="289"/>
      <c r="H1458" s="290"/>
    </row>
    <row r="1459" spans="3:8" x14ac:dyDescent="0.25">
      <c r="C1459" s="73"/>
      <c r="D1459" s="72"/>
      <c r="E1459" s="72"/>
      <c r="F1459" s="350"/>
      <c r="G1459" s="289"/>
      <c r="H1459" s="290"/>
    </row>
    <row r="1460" spans="3:8" x14ac:dyDescent="0.25">
      <c r="C1460" s="73"/>
      <c r="D1460" s="72"/>
      <c r="E1460" s="72"/>
      <c r="F1460" s="350"/>
      <c r="G1460" s="289"/>
      <c r="H1460" s="290"/>
    </row>
    <row r="1461" spans="3:8" x14ac:dyDescent="0.25">
      <c r="C1461" s="73"/>
      <c r="D1461" s="72"/>
      <c r="E1461" s="72"/>
      <c r="F1461" s="350"/>
      <c r="G1461" s="289"/>
      <c r="H1461" s="290"/>
    </row>
    <row r="1462" spans="3:8" x14ac:dyDescent="0.25">
      <c r="C1462" s="73"/>
      <c r="D1462" s="72"/>
      <c r="E1462" s="72"/>
      <c r="F1462" s="350"/>
      <c r="G1462" s="289"/>
      <c r="H1462" s="290"/>
    </row>
    <row r="1463" spans="3:8" x14ac:dyDescent="0.25">
      <c r="C1463" s="73"/>
      <c r="D1463" s="72"/>
      <c r="E1463" s="72"/>
      <c r="F1463" s="350"/>
      <c r="G1463" s="289"/>
      <c r="H1463" s="290"/>
    </row>
    <row r="1464" spans="3:8" x14ac:dyDescent="0.25">
      <c r="C1464" s="73"/>
      <c r="D1464" s="72"/>
      <c r="E1464" s="72"/>
      <c r="F1464" s="350"/>
      <c r="G1464" s="289"/>
      <c r="H1464" s="290"/>
    </row>
    <row r="1465" spans="3:8" x14ac:dyDescent="0.25">
      <c r="C1465" s="73"/>
      <c r="D1465" s="72"/>
      <c r="E1465" s="72"/>
      <c r="F1465" s="350"/>
      <c r="G1465" s="289"/>
      <c r="H1465" s="290"/>
    </row>
    <row r="1466" spans="3:8" x14ac:dyDescent="0.25">
      <c r="C1466" s="73"/>
      <c r="D1466" s="72"/>
      <c r="E1466" s="72"/>
      <c r="F1466" s="350"/>
      <c r="G1466" s="289"/>
      <c r="H1466" s="290"/>
    </row>
    <row r="1467" spans="3:8" x14ac:dyDescent="0.25">
      <c r="C1467" s="73"/>
      <c r="D1467" s="72"/>
      <c r="E1467" s="72"/>
      <c r="F1467" s="350"/>
      <c r="G1467" s="289"/>
      <c r="H1467" s="290"/>
    </row>
    <row r="1468" spans="3:8" x14ac:dyDescent="0.25">
      <c r="C1468" s="73"/>
      <c r="D1468" s="72"/>
      <c r="E1468" s="72"/>
      <c r="F1468" s="350"/>
      <c r="G1468" s="289"/>
      <c r="H1468" s="290"/>
    </row>
    <row r="1469" spans="3:8" x14ac:dyDescent="0.25">
      <c r="C1469" s="73"/>
      <c r="D1469" s="72"/>
      <c r="E1469" s="72"/>
      <c r="F1469" s="350"/>
      <c r="G1469" s="289"/>
      <c r="H1469" s="290"/>
    </row>
    <row r="1470" spans="3:8" x14ac:dyDescent="0.25">
      <c r="C1470" s="73"/>
      <c r="D1470" s="72"/>
      <c r="E1470" s="72"/>
      <c r="F1470" s="350"/>
      <c r="G1470" s="289"/>
      <c r="H1470" s="290"/>
    </row>
    <row r="1471" spans="3:8" x14ac:dyDescent="0.25">
      <c r="C1471" s="73"/>
      <c r="D1471" s="72"/>
      <c r="E1471" s="72"/>
      <c r="F1471" s="350"/>
      <c r="G1471" s="289"/>
      <c r="H1471" s="290"/>
    </row>
    <row r="1472" spans="3:8" x14ac:dyDescent="0.25">
      <c r="C1472" s="73"/>
      <c r="D1472" s="72"/>
      <c r="E1472" s="72"/>
      <c r="F1472" s="350"/>
      <c r="G1472" s="289"/>
      <c r="H1472" s="290"/>
    </row>
    <row r="1473" spans="3:8" x14ac:dyDescent="0.25">
      <c r="C1473" s="73"/>
      <c r="D1473" s="72"/>
      <c r="E1473" s="72"/>
      <c r="F1473" s="350"/>
      <c r="G1473" s="289"/>
      <c r="H1473" s="290"/>
    </row>
    <row r="1474" spans="3:8" x14ac:dyDescent="0.25">
      <c r="C1474" s="73"/>
      <c r="D1474" s="72"/>
      <c r="E1474" s="72"/>
      <c r="F1474" s="350"/>
      <c r="G1474" s="289"/>
      <c r="H1474" s="290"/>
    </row>
    <row r="1475" spans="3:8" x14ac:dyDescent="0.25">
      <c r="C1475" s="73"/>
      <c r="D1475" s="72"/>
      <c r="E1475" s="72"/>
      <c r="F1475" s="350"/>
      <c r="G1475" s="289"/>
      <c r="H1475" s="290"/>
    </row>
    <row r="1476" spans="3:8" x14ac:dyDescent="0.25">
      <c r="C1476" s="73"/>
      <c r="D1476" s="72"/>
      <c r="E1476" s="72"/>
      <c r="F1476" s="350"/>
      <c r="G1476" s="289"/>
      <c r="H1476" s="290"/>
    </row>
    <row r="1477" spans="3:8" x14ac:dyDescent="0.25">
      <c r="C1477" s="73"/>
      <c r="D1477" s="72"/>
      <c r="E1477" s="72"/>
      <c r="F1477" s="350"/>
      <c r="G1477" s="289"/>
      <c r="H1477" s="290"/>
    </row>
    <row r="1478" spans="3:8" x14ac:dyDescent="0.25">
      <c r="C1478" s="73"/>
      <c r="D1478" s="72"/>
      <c r="E1478" s="72"/>
      <c r="F1478" s="350"/>
      <c r="G1478" s="289"/>
      <c r="H1478" s="290"/>
    </row>
    <row r="1479" spans="3:8" x14ac:dyDescent="0.25">
      <c r="C1479" s="73"/>
      <c r="D1479" s="72"/>
      <c r="E1479" s="72"/>
      <c r="F1479" s="350"/>
      <c r="G1479" s="289"/>
      <c r="H1479" s="290"/>
    </row>
    <row r="1480" spans="3:8" x14ac:dyDescent="0.25">
      <c r="C1480" s="73"/>
      <c r="D1480" s="72"/>
      <c r="E1480" s="72"/>
      <c r="F1480" s="350"/>
      <c r="G1480" s="289"/>
      <c r="H1480" s="290"/>
    </row>
    <row r="1481" spans="3:8" x14ac:dyDescent="0.25">
      <c r="C1481" s="73"/>
      <c r="D1481" s="72"/>
      <c r="E1481" s="72"/>
      <c r="F1481" s="350"/>
      <c r="G1481" s="289"/>
      <c r="H1481" s="290"/>
    </row>
    <row r="1482" spans="3:8" x14ac:dyDescent="0.25">
      <c r="C1482" s="73"/>
      <c r="D1482" s="72"/>
      <c r="E1482" s="72"/>
      <c r="F1482" s="350"/>
      <c r="G1482" s="289"/>
      <c r="H1482" s="290"/>
    </row>
    <row r="1483" spans="3:8" x14ac:dyDescent="0.25">
      <c r="C1483" s="73"/>
      <c r="D1483" s="72"/>
      <c r="E1483" s="72"/>
      <c r="F1483" s="350"/>
      <c r="G1483" s="289"/>
      <c r="H1483" s="290"/>
    </row>
    <row r="1484" spans="3:8" x14ac:dyDescent="0.25">
      <c r="C1484" s="73"/>
      <c r="D1484" s="72"/>
      <c r="E1484" s="72"/>
      <c r="F1484" s="350"/>
      <c r="G1484" s="289"/>
      <c r="H1484" s="290"/>
    </row>
    <row r="1485" spans="3:8" x14ac:dyDescent="0.25">
      <c r="C1485" s="73"/>
      <c r="D1485" s="72"/>
      <c r="E1485" s="72"/>
      <c r="F1485" s="350"/>
      <c r="G1485" s="289"/>
      <c r="H1485" s="290"/>
    </row>
    <row r="1486" spans="3:8" x14ac:dyDescent="0.25">
      <c r="C1486" s="73"/>
      <c r="D1486" s="72"/>
      <c r="E1486" s="72"/>
      <c r="F1486" s="350"/>
      <c r="G1486" s="289"/>
      <c r="H1486" s="290"/>
    </row>
    <row r="1487" spans="3:8" x14ac:dyDescent="0.25">
      <c r="C1487" s="73"/>
      <c r="D1487" s="72"/>
      <c r="E1487" s="72"/>
      <c r="F1487" s="350"/>
      <c r="G1487" s="289"/>
      <c r="H1487" s="290"/>
    </row>
    <row r="1488" spans="3:8" x14ac:dyDescent="0.25">
      <c r="C1488" s="73"/>
      <c r="D1488" s="72"/>
      <c r="E1488" s="72"/>
      <c r="F1488" s="350"/>
      <c r="G1488" s="289"/>
      <c r="H1488" s="290"/>
    </row>
    <row r="1489" spans="3:8" x14ac:dyDescent="0.25">
      <c r="C1489" s="73"/>
      <c r="D1489" s="72"/>
      <c r="E1489" s="72"/>
      <c r="F1489" s="350"/>
      <c r="G1489" s="289"/>
      <c r="H1489" s="290"/>
    </row>
    <row r="1490" spans="3:8" x14ac:dyDescent="0.25">
      <c r="C1490" s="73"/>
      <c r="D1490" s="72"/>
      <c r="E1490" s="72"/>
      <c r="F1490" s="350"/>
      <c r="G1490" s="289"/>
      <c r="H1490" s="290"/>
    </row>
    <row r="1491" spans="3:8" x14ac:dyDescent="0.25">
      <c r="C1491" s="73"/>
      <c r="D1491" s="72"/>
      <c r="E1491" s="72"/>
      <c r="F1491" s="350"/>
      <c r="G1491" s="289"/>
      <c r="H1491" s="290"/>
    </row>
    <row r="1492" spans="3:8" x14ac:dyDescent="0.25">
      <c r="C1492" s="73"/>
      <c r="D1492" s="72"/>
      <c r="E1492" s="72"/>
      <c r="F1492" s="350"/>
      <c r="G1492" s="289"/>
      <c r="H1492" s="290"/>
    </row>
    <row r="1493" spans="3:8" x14ac:dyDescent="0.25">
      <c r="C1493" s="73"/>
      <c r="D1493" s="72"/>
      <c r="E1493" s="72"/>
      <c r="F1493" s="350"/>
      <c r="G1493" s="289"/>
      <c r="H1493" s="290"/>
    </row>
    <row r="1494" spans="3:8" x14ac:dyDescent="0.25">
      <c r="C1494" s="73"/>
      <c r="D1494" s="72"/>
      <c r="E1494" s="72"/>
      <c r="F1494" s="350"/>
      <c r="G1494" s="289"/>
      <c r="H1494" s="290"/>
    </row>
    <row r="1495" spans="3:8" x14ac:dyDescent="0.25">
      <c r="C1495" s="73"/>
      <c r="D1495" s="72"/>
      <c r="E1495" s="72"/>
      <c r="F1495" s="350"/>
      <c r="G1495" s="289"/>
      <c r="H1495" s="290"/>
    </row>
    <row r="1496" spans="3:8" x14ac:dyDescent="0.25">
      <c r="C1496" s="73"/>
      <c r="D1496" s="72"/>
      <c r="E1496" s="72"/>
      <c r="F1496" s="350"/>
      <c r="G1496" s="289"/>
      <c r="H1496" s="290"/>
    </row>
    <row r="1497" spans="3:8" x14ac:dyDescent="0.25">
      <c r="C1497" s="73"/>
      <c r="D1497" s="72"/>
      <c r="E1497" s="72"/>
      <c r="F1497" s="350"/>
      <c r="G1497" s="289"/>
      <c r="H1497" s="290"/>
    </row>
    <row r="1498" spans="3:8" x14ac:dyDescent="0.25">
      <c r="C1498" s="73"/>
      <c r="D1498" s="72"/>
      <c r="E1498" s="72"/>
      <c r="F1498" s="350"/>
      <c r="G1498" s="289"/>
      <c r="H1498" s="290"/>
    </row>
    <row r="1499" spans="3:8" x14ac:dyDescent="0.25">
      <c r="C1499" s="73"/>
      <c r="D1499" s="72"/>
      <c r="E1499" s="72"/>
      <c r="F1499" s="350"/>
      <c r="G1499" s="289"/>
      <c r="H1499" s="290"/>
    </row>
    <row r="1500" spans="3:8" x14ac:dyDescent="0.25">
      <c r="C1500" s="73"/>
      <c r="D1500" s="72"/>
      <c r="E1500" s="72"/>
      <c r="F1500" s="350"/>
      <c r="G1500" s="289"/>
      <c r="H1500" s="290"/>
    </row>
    <row r="1501" spans="3:8" x14ac:dyDescent="0.25">
      <c r="C1501" s="73"/>
      <c r="D1501" s="72"/>
      <c r="E1501" s="72"/>
      <c r="F1501" s="350"/>
      <c r="G1501" s="289"/>
      <c r="H1501" s="290"/>
    </row>
    <row r="1502" spans="3:8" x14ac:dyDescent="0.25">
      <c r="C1502" s="73"/>
      <c r="D1502" s="72"/>
      <c r="E1502" s="72"/>
      <c r="F1502" s="350"/>
      <c r="G1502" s="289"/>
      <c r="H1502" s="290"/>
    </row>
    <row r="1503" spans="3:8" x14ac:dyDescent="0.25">
      <c r="C1503" s="73"/>
      <c r="D1503" s="72"/>
      <c r="E1503" s="72"/>
      <c r="F1503" s="350"/>
      <c r="G1503" s="289"/>
      <c r="H1503" s="290"/>
    </row>
    <row r="1504" spans="3:8" x14ac:dyDescent="0.25">
      <c r="C1504" s="73"/>
      <c r="D1504" s="72"/>
      <c r="E1504" s="72"/>
      <c r="F1504" s="350"/>
      <c r="G1504" s="289"/>
      <c r="H1504" s="290"/>
    </row>
    <row r="1505" spans="3:8" x14ac:dyDescent="0.25">
      <c r="C1505" s="73"/>
      <c r="D1505" s="72"/>
      <c r="E1505" s="72"/>
      <c r="F1505" s="350"/>
      <c r="G1505" s="289"/>
      <c r="H1505" s="290"/>
    </row>
    <row r="1506" spans="3:8" x14ac:dyDescent="0.25">
      <c r="C1506" s="73"/>
      <c r="D1506" s="72"/>
      <c r="E1506" s="72"/>
      <c r="F1506" s="350"/>
      <c r="G1506" s="289"/>
      <c r="H1506" s="290"/>
    </row>
    <row r="1507" spans="3:8" x14ac:dyDescent="0.25">
      <c r="C1507" s="73"/>
      <c r="D1507" s="72"/>
      <c r="E1507" s="72"/>
      <c r="F1507" s="350"/>
      <c r="G1507" s="289"/>
      <c r="H1507" s="290"/>
    </row>
    <row r="1508" spans="3:8" x14ac:dyDescent="0.25">
      <c r="C1508" s="73"/>
      <c r="D1508" s="72"/>
      <c r="E1508" s="72"/>
      <c r="F1508" s="350"/>
      <c r="G1508" s="289"/>
      <c r="H1508" s="290"/>
    </row>
    <row r="1509" spans="3:8" x14ac:dyDescent="0.25">
      <c r="C1509" s="73"/>
      <c r="D1509" s="72"/>
      <c r="E1509" s="72"/>
      <c r="F1509" s="350"/>
      <c r="G1509" s="289"/>
      <c r="H1509" s="290"/>
    </row>
    <row r="1510" spans="3:8" x14ac:dyDescent="0.25">
      <c r="C1510" s="73"/>
      <c r="D1510" s="72"/>
      <c r="E1510" s="72"/>
      <c r="F1510" s="350"/>
      <c r="G1510" s="289"/>
      <c r="H1510" s="290"/>
    </row>
    <row r="1511" spans="3:8" x14ac:dyDescent="0.25">
      <c r="C1511" s="73"/>
      <c r="D1511" s="72"/>
      <c r="E1511" s="72"/>
      <c r="F1511" s="350"/>
      <c r="G1511" s="289"/>
      <c r="H1511" s="290"/>
    </row>
    <row r="1512" spans="3:8" x14ac:dyDescent="0.25">
      <c r="C1512" s="73"/>
      <c r="D1512" s="72"/>
      <c r="E1512" s="72"/>
      <c r="F1512" s="350"/>
      <c r="G1512" s="289"/>
      <c r="H1512" s="290"/>
    </row>
    <row r="1513" spans="3:8" x14ac:dyDescent="0.25">
      <c r="C1513" s="73"/>
      <c r="D1513" s="72"/>
      <c r="E1513" s="72"/>
      <c r="F1513" s="350"/>
      <c r="G1513" s="289"/>
      <c r="H1513" s="290"/>
    </row>
    <row r="1514" spans="3:8" x14ac:dyDescent="0.25">
      <c r="C1514" s="73"/>
      <c r="D1514" s="72"/>
      <c r="E1514" s="72"/>
      <c r="F1514" s="350"/>
      <c r="G1514" s="289"/>
      <c r="H1514" s="290"/>
    </row>
    <row r="1515" spans="3:8" x14ac:dyDescent="0.25">
      <c r="C1515" s="73"/>
      <c r="D1515" s="72"/>
      <c r="E1515" s="72"/>
      <c r="F1515" s="350"/>
      <c r="G1515" s="289"/>
      <c r="H1515" s="290"/>
    </row>
    <row r="1516" spans="3:8" x14ac:dyDescent="0.25">
      <c r="C1516" s="73"/>
      <c r="D1516" s="72"/>
      <c r="E1516" s="72"/>
      <c r="F1516" s="350"/>
      <c r="G1516" s="289"/>
      <c r="H1516" s="290"/>
    </row>
    <row r="1517" spans="3:8" x14ac:dyDescent="0.25">
      <c r="C1517" s="73"/>
      <c r="D1517" s="72"/>
      <c r="E1517" s="72"/>
      <c r="F1517" s="350"/>
      <c r="G1517" s="289"/>
      <c r="H1517" s="290"/>
    </row>
    <row r="1518" spans="3:8" x14ac:dyDescent="0.25">
      <c r="C1518" s="73"/>
      <c r="D1518" s="72"/>
      <c r="E1518" s="72"/>
      <c r="F1518" s="350"/>
      <c r="G1518" s="289"/>
      <c r="H1518" s="290"/>
    </row>
    <row r="1519" spans="3:8" x14ac:dyDescent="0.25">
      <c r="C1519" s="73"/>
      <c r="D1519" s="72"/>
      <c r="E1519" s="72"/>
      <c r="F1519" s="350"/>
      <c r="G1519" s="289"/>
      <c r="H1519" s="290"/>
    </row>
    <row r="1520" spans="3:8" x14ac:dyDescent="0.25">
      <c r="C1520" s="73"/>
      <c r="D1520" s="72"/>
      <c r="E1520" s="72"/>
      <c r="F1520" s="350"/>
      <c r="G1520" s="289"/>
      <c r="H1520" s="290"/>
    </row>
    <row r="1521" spans="3:8" x14ac:dyDescent="0.25">
      <c r="C1521" s="73"/>
      <c r="D1521" s="72"/>
      <c r="E1521" s="72"/>
      <c r="F1521" s="350"/>
      <c r="G1521" s="289"/>
      <c r="H1521" s="290"/>
    </row>
    <row r="1522" spans="3:8" x14ac:dyDescent="0.25">
      <c r="C1522" s="73"/>
      <c r="D1522" s="72"/>
      <c r="E1522" s="72"/>
      <c r="F1522" s="350"/>
      <c r="G1522" s="289"/>
      <c r="H1522" s="290"/>
    </row>
    <row r="1523" spans="3:8" x14ac:dyDescent="0.25">
      <c r="C1523" s="73"/>
      <c r="D1523" s="72"/>
      <c r="E1523" s="72"/>
      <c r="F1523" s="350"/>
      <c r="G1523" s="289"/>
      <c r="H1523" s="290"/>
    </row>
    <row r="1524" spans="3:8" x14ac:dyDescent="0.25">
      <c r="C1524" s="73"/>
      <c r="D1524" s="72"/>
      <c r="E1524" s="72"/>
      <c r="F1524" s="350"/>
      <c r="G1524" s="289"/>
      <c r="H1524" s="290"/>
    </row>
    <row r="1525" spans="3:8" x14ac:dyDescent="0.25">
      <c r="C1525" s="73"/>
      <c r="D1525" s="72"/>
      <c r="E1525" s="72"/>
      <c r="F1525" s="350"/>
      <c r="G1525" s="289"/>
      <c r="H1525" s="290"/>
    </row>
    <row r="1526" spans="3:8" x14ac:dyDescent="0.25">
      <c r="C1526" s="73"/>
      <c r="D1526" s="72"/>
      <c r="E1526" s="72"/>
      <c r="F1526" s="350"/>
      <c r="G1526" s="289"/>
      <c r="H1526" s="290"/>
    </row>
    <row r="1527" spans="3:8" x14ac:dyDescent="0.25">
      <c r="C1527" s="73"/>
      <c r="D1527" s="72"/>
      <c r="E1527" s="72"/>
      <c r="F1527" s="350"/>
      <c r="G1527" s="289"/>
      <c r="H1527" s="290"/>
    </row>
    <row r="1528" spans="3:8" x14ac:dyDescent="0.25">
      <c r="C1528" s="73"/>
      <c r="D1528" s="72"/>
      <c r="E1528" s="72"/>
      <c r="F1528" s="350"/>
      <c r="G1528" s="289"/>
      <c r="H1528" s="290"/>
    </row>
    <row r="1529" spans="3:8" x14ac:dyDescent="0.25">
      <c r="C1529" s="73"/>
      <c r="D1529" s="72"/>
      <c r="E1529" s="72"/>
      <c r="F1529" s="350"/>
      <c r="G1529" s="289"/>
      <c r="H1529" s="290"/>
    </row>
    <row r="1530" spans="3:8" x14ac:dyDescent="0.25">
      <c r="C1530" s="73"/>
      <c r="D1530" s="72"/>
      <c r="E1530" s="72"/>
      <c r="F1530" s="350"/>
      <c r="G1530" s="289"/>
      <c r="H1530" s="290"/>
    </row>
    <row r="1531" spans="3:8" x14ac:dyDescent="0.25">
      <c r="C1531" s="73"/>
      <c r="D1531" s="72"/>
      <c r="E1531" s="72"/>
      <c r="F1531" s="350"/>
      <c r="G1531" s="289"/>
      <c r="H1531" s="290"/>
    </row>
    <row r="1532" spans="3:8" x14ac:dyDescent="0.25">
      <c r="C1532" s="73"/>
      <c r="D1532" s="72"/>
      <c r="E1532" s="72"/>
      <c r="F1532" s="350"/>
      <c r="G1532" s="289"/>
      <c r="H1532" s="290"/>
    </row>
    <row r="1533" spans="3:8" x14ac:dyDescent="0.25">
      <c r="C1533" s="73"/>
      <c r="D1533" s="72"/>
      <c r="E1533" s="72"/>
      <c r="F1533" s="350"/>
      <c r="G1533" s="289"/>
      <c r="H1533" s="290"/>
    </row>
    <row r="1534" spans="3:8" x14ac:dyDescent="0.25">
      <c r="C1534" s="73"/>
      <c r="D1534" s="72"/>
      <c r="E1534" s="72"/>
      <c r="F1534" s="350"/>
      <c r="G1534" s="289"/>
      <c r="H1534" s="290"/>
    </row>
    <row r="1535" spans="3:8" x14ac:dyDescent="0.25">
      <c r="C1535" s="73"/>
      <c r="D1535" s="72"/>
      <c r="E1535" s="72"/>
      <c r="F1535" s="350"/>
      <c r="G1535" s="289"/>
      <c r="H1535" s="290"/>
    </row>
    <row r="1536" spans="3:8" x14ac:dyDescent="0.25">
      <c r="C1536" s="73"/>
      <c r="D1536" s="72"/>
      <c r="E1536" s="72"/>
      <c r="F1536" s="350"/>
      <c r="G1536" s="289"/>
      <c r="H1536" s="290"/>
    </row>
    <row r="1537" spans="3:8" x14ac:dyDescent="0.25">
      <c r="C1537" s="73"/>
      <c r="D1537" s="72"/>
      <c r="E1537" s="72"/>
      <c r="F1537" s="350"/>
      <c r="G1537" s="289"/>
      <c r="H1537" s="290"/>
    </row>
    <row r="1538" spans="3:8" x14ac:dyDescent="0.25">
      <c r="C1538" s="73"/>
      <c r="D1538" s="72"/>
      <c r="E1538" s="72"/>
      <c r="F1538" s="350"/>
      <c r="G1538" s="289"/>
      <c r="H1538" s="290"/>
    </row>
    <row r="1539" spans="3:8" x14ac:dyDescent="0.25">
      <c r="C1539" s="73"/>
      <c r="D1539" s="72"/>
      <c r="E1539" s="72"/>
      <c r="F1539" s="350"/>
      <c r="G1539" s="289"/>
      <c r="H1539" s="290"/>
    </row>
    <row r="1540" spans="3:8" x14ac:dyDescent="0.25">
      <c r="C1540" s="73"/>
      <c r="D1540" s="72"/>
      <c r="E1540" s="72"/>
      <c r="F1540" s="350"/>
      <c r="G1540" s="289"/>
      <c r="H1540" s="290"/>
    </row>
    <row r="1541" spans="3:8" x14ac:dyDescent="0.25">
      <c r="C1541" s="73"/>
      <c r="D1541" s="72"/>
      <c r="E1541" s="72"/>
      <c r="F1541" s="350"/>
      <c r="G1541" s="289"/>
      <c r="H1541" s="290"/>
    </row>
    <row r="1542" spans="3:8" x14ac:dyDescent="0.25">
      <c r="C1542" s="73"/>
      <c r="D1542" s="72"/>
      <c r="E1542" s="72"/>
      <c r="F1542" s="350"/>
      <c r="G1542" s="289"/>
      <c r="H1542" s="290"/>
    </row>
    <row r="1543" spans="3:8" x14ac:dyDescent="0.25">
      <c r="C1543" s="73"/>
      <c r="D1543" s="72"/>
      <c r="E1543" s="72"/>
      <c r="F1543" s="350"/>
      <c r="G1543" s="289"/>
      <c r="H1543" s="290"/>
    </row>
    <row r="1544" spans="3:8" x14ac:dyDescent="0.25">
      <c r="C1544" s="73"/>
      <c r="D1544" s="72"/>
      <c r="E1544" s="72"/>
      <c r="F1544" s="350"/>
      <c r="G1544" s="289"/>
      <c r="H1544" s="290"/>
    </row>
    <row r="1545" spans="3:8" x14ac:dyDescent="0.25">
      <c r="C1545" s="73"/>
      <c r="D1545" s="72"/>
      <c r="E1545" s="72"/>
      <c r="F1545" s="350"/>
      <c r="G1545" s="289"/>
      <c r="H1545" s="290"/>
    </row>
    <row r="1546" spans="3:8" x14ac:dyDescent="0.25">
      <c r="C1546" s="73"/>
      <c r="D1546" s="72"/>
      <c r="E1546" s="72"/>
      <c r="F1546" s="350"/>
      <c r="G1546" s="289"/>
      <c r="H1546" s="290"/>
    </row>
    <row r="1547" spans="3:8" x14ac:dyDescent="0.25">
      <c r="C1547" s="73"/>
      <c r="D1547" s="72"/>
      <c r="E1547" s="72"/>
      <c r="F1547" s="350"/>
      <c r="G1547" s="289"/>
      <c r="H1547" s="290"/>
    </row>
    <row r="1548" spans="3:8" x14ac:dyDescent="0.25">
      <c r="C1548" s="73"/>
      <c r="D1548" s="72"/>
      <c r="E1548" s="72"/>
      <c r="F1548" s="350"/>
      <c r="G1548" s="289"/>
      <c r="H1548" s="290"/>
    </row>
    <row r="1549" spans="3:8" x14ac:dyDescent="0.25">
      <c r="C1549" s="73"/>
      <c r="D1549" s="72"/>
      <c r="E1549" s="72"/>
      <c r="F1549" s="350"/>
      <c r="G1549" s="289"/>
      <c r="H1549" s="290"/>
    </row>
    <row r="1550" spans="3:8" x14ac:dyDescent="0.25">
      <c r="C1550" s="73"/>
      <c r="D1550" s="72"/>
      <c r="E1550" s="72"/>
      <c r="F1550" s="350"/>
      <c r="G1550" s="289"/>
      <c r="H1550" s="290"/>
    </row>
    <row r="1551" spans="3:8" x14ac:dyDescent="0.25">
      <c r="C1551" s="73"/>
      <c r="D1551" s="72"/>
      <c r="E1551" s="72"/>
      <c r="F1551" s="350"/>
      <c r="G1551" s="289"/>
      <c r="H1551" s="290"/>
    </row>
    <row r="1552" spans="3:8" x14ac:dyDescent="0.25">
      <c r="C1552" s="73"/>
      <c r="D1552" s="72"/>
      <c r="E1552" s="72"/>
      <c r="F1552" s="350"/>
      <c r="G1552" s="289"/>
      <c r="H1552" s="290"/>
    </row>
    <row r="1553" spans="3:8" x14ac:dyDescent="0.25">
      <c r="C1553" s="73"/>
      <c r="D1553" s="72"/>
      <c r="E1553" s="72"/>
      <c r="F1553" s="350"/>
      <c r="G1553" s="289"/>
      <c r="H1553" s="290"/>
    </row>
    <row r="1554" spans="3:8" x14ac:dyDescent="0.25">
      <c r="C1554" s="73"/>
      <c r="D1554" s="72"/>
      <c r="E1554" s="72"/>
      <c r="F1554" s="350"/>
      <c r="G1554" s="289"/>
      <c r="H1554" s="290"/>
    </row>
    <row r="1555" spans="3:8" x14ac:dyDescent="0.25">
      <c r="C1555" s="73"/>
      <c r="D1555" s="72"/>
      <c r="E1555" s="72"/>
      <c r="F1555" s="350"/>
      <c r="G1555" s="289"/>
      <c r="H1555" s="290"/>
    </row>
    <row r="1556" spans="3:8" x14ac:dyDescent="0.25">
      <c r="C1556" s="73"/>
      <c r="D1556" s="72"/>
      <c r="E1556" s="72"/>
      <c r="F1556" s="350"/>
      <c r="G1556" s="289"/>
      <c r="H1556" s="290"/>
    </row>
    <row r="1557" spans="3:8" x14ac:dyDescent="0.25">
      <c r="C1557" s="73"/>
      <c r="D1557" s="72"/>
      <c r="E1557" s="72"/>
      <c r="F1557" s="350"/>
      <c r="G1557" s="289"/>
      <c r="H1557" s="290"/>
    </row>
    <row r="1558" spans="3:8" x14ac:dyDescent="0.25">
      <c r="C1558" s="73"/>
      <c r="D1558" s="72"/>
      <c r="E1558" s="72"/>
      <c r="F1558" s="350"/>
      <c r="G1558" s="289"/>
      <c r="H1558" s="290"/>
    </row>
    <row r="1559" spans="3:8" x14ac:dyDescent="0.25">
      <c r="C1559" s="73"/>
      <c r="D1559" s="72"/>
      <c r="E1559" s="72"/>
      <c r="F1559" s="350"/>
      <c r="G1559" s="289"/>
      <c r="H1559" s="290"/>
    </row>
    <row r="1560" spans="3:8" x14ac:dyDescent="0.25">
      <c r="C1560" s="73"/>
      <c r="D1560" s="72"/>
      <c r="E1560" s="72"/>
      <c r="F1560" s="350"/>
      <c r="G1560" s="289"/>
      <c r="H1560" s="290"/>
    </row>
    <row r="1561" spans="3:8" x14ac:dyDescent="0.25">
      <c r="C1561" s="73"/>
      <c r="D1561" s="72"/>
      <c r="E1561" s="72"/>
      <c r="F1561" s="350"/>
      <c r="G1561" s="289"/>
      <c r="H1561" s="290"/>
    </row>
    <row r="1562" spans="3:8" x14ac:dyDescent="0.25">
      <c r="C1562" s="73"/>
      <c r="D1562" s="72"/>
      <c r="E1562" s="72"/>
      <c r="F1562" s="350"/>
      <c r="G1562" s="289"/>
      <c r="H1562" s="290"/>
    </row>
    <row r="1563" spans="3:8" x14ac:dyDescent="0.25">
      <c r="C1563" s="73"/>
      <c r="D1563" s="72"/>
      <c r="E1563" s="72"/>
      <c r="F1563" s="350"/>
      <c r="G1563" s="289"/>
      <c r="H1563" s="290"/>
    </row>
    <row r="1564" spans="3:8" x14ac:dyDescent="0.25">
      <c r="C1564" s="73"/>
      <c r="D1564" s="72"/>
      <c r="E1564" s="72"/>
      <c r="F1564" s="350"/>
      <c r="G1564" s="289"/>
      <c r="H1564" s="290"/>
    </row>
    <row r="1565" spans="3:8" x14ac:dyDescent="0.25">
      <c r="C1565" s="73"/>
      <c r="D1565" s="72"/>
      <c r="E1565" s="72"/>
      <c r="F1565" s="350"/>
      <c r="G1565" s="289"/>
      <c r="H1565" s="290"/>
    </row>
    <row r="1566" spans="3:8" x14ac:dyDescent="0.25">
      <c r="C1566" s="73"/>
      <c r="D1566" s="72"/>
      <c r="E1566" s="72"/>
      <c r="F1566" s="350"/>
      <c r="G1566" s="289"/>
      <c r="H1566" s="290"/>
    </row>
    <row r="1567" spans="3:8" x14ac:dyDescent="0.25">
      <c r="C1567" s="73"/>
      <c r="D1567" s="72"/>
      <c r="E1567" s="72"/>
      <c r="F1567" s="350"/>
      <c r="G1567" s="289"/>
      <c r="H1567" s="290"/>
    </row>
    <row r="1568" spans="3:8" x14ac:dyDescent="0.25">
      <c r="C1568" s="73"/>
      <c r="D1568" s="72"/>
      <c r="E1568" s="72"/>
      <c r="F1568" s="350"/>
      <c r="G1568" s="289"/>
      <c r="H1568" s="290"/>
    </row>
    <row r="1569" spans="3:8" x14ac:dyDescent="0.25">
      <c r="C1569" s="73"/>
      <c r="D1569" s="72"/>
      <c r="E1569" s="72"/>
      <c r="F1569" s="350"/>
      <c r="G1569" s="289"/>
      <c r="H1569" s="290"/>
    </row>
    <row r="1570" spans="3:8" x14ac:dyDescent="0.25">
      <c r="C1570" s="73"/>
      <c r="D1570" s="72"/>
      <c r="E1570" s="72"/>
      <c r="F1570" s="350"/>
      <c r="G1570" s="289"/>
      <c r="H1570" s="290"/>
    </row>
    <row r="1571" spans="3:8" x14ac:dyDescent="0.25">
      <c r="C1571" s="73"/>
      <c r="D1571" s="72"/>
      <c r="E1571" s="72"/>
      <c r="F1571" s="350"/>
      <c r="G1571" s="289"/>
      <c r="H1571" s="290"/>
    </row>
    <row r="1572" spans="3:8" x14ac:dyDescent="0.25">
      <c r="C1572" s="73"/>
      <c r="D1572" s="72"/>
      <c r="E1572" s="72"/>
      <c r="F1572" s="350"/>
      <c r="G1572" s="289"/>
      <c r="H1572" s="290"/>
    </row>
    <row r="1573" spans="3:8" x14ac:dyDescent="0.25">
      <c r="C1573" s="73"/>
      <c r="D1573" s="72"/>
      <c r="E1573" s="72"/>
      <c r="F1573" s="350"/>
      <c r="G1573" s="289"/>
      <c r="H1573" s="290"/>
    </row>
    <row r="1574" spans="3:8" x14ac:dyDescent="0.25">
      <c r="C1574" s="73"/>
      <c r="D1574" s="72"/>
      <c r="E1574" s="72"/>
      <c r="F1574" s="350"/>
      <c r="G1574" s="289"/>
      <c r="H1574" s="290"/>
    </row>
    <row r="1575" spans="3:8" x14ac:dyDescent="0.25">
      <c r="C1575" s="73"/>
      <c r="D1575" s="72"/>
      <c r="E1575" s="72"/>
      <c r="F1575" s="350"/>
      <c r="G1575" s="289"/>
      <c r="H1575" s="290"/>
    </row>
    <row r="1576" spans="3:8" x14ac:dyDescent="0.25">
      <c r="C1576" s="73"/>
      <c r="D1576" s="72"/>
      <c r="E1576" s="72"/>
      <c r="F1576" s="350"/>
      <c r="G1576" s="289"/>
      <c r="H1576" s="290"/>
    </row>
    <row r="1577" spans="3:8" x14ac:dyDescent="0.25">
      <c r="C1577" s="73"/>
      <c r="D1577" s="72"/>
      <c r="E1577" s="72"/>
      <c r="F1577" s="350"/>
      <c r="G1577" s="289"/>
      <c r="H1577" s="290"/>
    </row>
    <row r="1578" spans="3:8" x14ac:dyDescent="0.25">
      <c r="C1578" s="73"/>
      <c r="D1578" s="72"/>
      <c r="E1578" s="72"/>
      <c r="F1578" s="350"/>
      <c r="G1578" s="289"/>
      <c r="H1578" s="290"/>
    </row>
    <row r="1579" spans="3:8" x14ac:dyDescent="0.25">
      <c r="C1579" s="73"/>
      <c r="D1579" s="72"/>
      <c r="E1579" s="72"/>
      <c r="F1579" s="350"/>
      <c r="G1579" s="289"/>
      <c r="H1579" s="290"/>
    </row>
    <row r="1580" spans="3:8" x14ac:dyDescent="0.25">
      <c r="C1580" s="73"/>
      <c r="D1580" s="72"/>
      <c r="E1580" s="72"/>
      <c r="F1580" s="350"/>
      <c r="G1580" s="289"/>
      <c r="H1580" s="290"/>
    </row>
    <row r="1581" spans="3:8" x14ac:dyDescent="0.25">
      <c r="C1581" s="73"/>
      <c r="D1581" s="72"/>
      <c r="E1581" s="72"/>
      <c r="F1581" s="350"/>
      <c r="G1581" s="289"/>
      <c r="H1581" s="290"/>
    </row>
    <row r="1582" spans="3:8" x14ac:dyDescent="0.25">
      <c r="C1582" s="73"/>
      <c r="D1582" s="72"/>
      <c r="E1582" s="72"/>
      <c r="F1582" s="350"/>
      <c r="G1582" s="289"/>
      <c r="H1582" s="290"/>
    </row>
    <row r="1583" spans="3:8" x14ac:dyDescent="0.25">
      <c r="C1583" s="73"/>
      <c r="D1583" s="72"/>
      <c r="E1583" s="72"/>
      <c r="F1583" s="350"/>
      <c r="G1583" s="289"/>
      <c r="H1583" s="290"/>
    </row>
    <row r="1584" spans="3:8" x14ac:dyDescent="0.25">
      <c r="C1584" s="73"/>
      <c r="D1584" s="72"/>
      <c r="E1584" s="72"/>
      <c r="F1584" s="350"/>
      <c r="G1584" s="289"/>
      <c r="H1584" s="290"/>
    </row>
    <row r="1585" spans="3:8" x14ac:dyDescent="0.25">
      <c r="C1585" s="73"/>
      <c r="D1585" s="72"/>
      <c r="E1585" s="72"/>
      <c r="F1585" s="350"/>
      <c r="G1585" s="289"/>
      <c r="H1585" s="290"/>
    </row>
    <row r="1586" spans="3:8" x14ac:dyDescent="0.25">
      <c r="C1586" s="73"/>
      <c r="D1586" s="72"/>
      <c r="E1586" s="72"/>
      <c r="F1586" s="350"/>
      <c r="G1586" s="289"/>
      <c r="H1586" s="290"/>
    </row>
    <row r="1587" spans="3:8" x14ac:dyDescent="0.25">
      <c r="C1587" s="73"/>
      <c r="D1587" s="72"/>
      <c r="E1587" s="72"/>
      <c r="F1587" s="350"/>
      <c r="G1587" s="289"/>
      <c r="H1587" s="290"/>
    </row>
    <row r="1588" spans="3:8" x14ac:dyDescent="0.25">
      <c r="C1588" s="73"/>
      <c r="D1588" s="72"/>
      <c r="E1588" s="72"/>
      <c r="F1588" s="350"/>
      <c r="G1588" s="289"/>
      <c r="H1588" s="290"/>
    </row>
    <row r="1589" spans="3:8" x14ac:dyDescent="0.25">
      <c r="C1589" s="73"/>
      <c r="D1589" s="72"/>
      <c r="E1589" s="72"/>
      <c r="F1589" s="350"/>
      <c r="G1589" s="289"/>
      <c r="H1589" s="290"/>
    </row>
    <row r="1590" spans="3:8" x14ac:dyDescent="0.25">
      <c r="C1590" s="73"/>
      <c r="D1590" s="72"/>
      <c r="E1590" s="72"/>
      <c r="F1590" s="350"/>
      <c r="G1590" s="289"/>
      <c r="H1590" s="290"/>
    </row>
    <row r="1591" spans="3:8" x14ac:dyDescent="0.25">
      <c r="C1591" s="73"/>
      <c r="D1591" s="72"/>
      <c r="E1591" s="72"/>
      <c r="F1591" s="350"/>
      <c r="G1591" s="289"/>
      <c r="H1591" s="290"/>
    </row>
    <row r="1592" spans="3:8" x14ac:dyDescent="0.25">
      <c r="C1592" s="73"/>
      <c r="D1592" s="72"/>
      <c r="E1592" s="72"/>
      <c r="F1592" s="350"/>
      <c r="G1592" s="289"/>
      <c r="H1592" s="290"/>
    </row>
    <row r="1593" spans="3:8" x14ac:dyDescent="0.25">
      <c r="C1593" s="73"/>
      <c r="D1593" s="72"/>
      <c r="E1593" s="72"/>
      <c r="F1593" s="350"/>
      <c r="G1593" s="289"/>
      <c r="H1593" s="290"/>
    </row>
    <row r="1594" spans="3:8" x14ac:dyDescent="0.25">
      <c r="C1594" s="73"/>
      <c r="D1594" s="72"/>
      <c r="E1594" s="72"/>
      <c r="F1594" s="350"/>
      <c r="G1594" s="289"/>
      <c r="H1594" s="290"/>
    </row>
    <row r="1595" spans="3:8" x14ac:dyDescent="0.25">
      <c r="C1595" s="73"/>
      <c r="D1595" s="72"/>
      <c r="E1595" s="72"/>
      <c r="F1595" s="350"/>
      <c r="G1595" s="289"/>
      <c r="H1595" s="290"/>
    </row>
    <row r="1596" spans="3:8" x14ac:dyDescent="0.25">
      <c r="C1596" s="73"/>
      <c r="D1596" s="72"/>
      <c r="E1596" s="72"/>
      <c r="F1596" s="350"/>
      <c r="G1596" s="289"/>
      <c r="H1596" s="290"/>
    </row>
    <row r="1597" spans="3:8" x14ac:dyDescent="0.25">
      <c r="C1597" s="73"/>
      <c r="D1597" s="72"/>
      <c r="E1597" s="72"/>
      <c r="F1597" s="350"/>
      <c r="G1597" s="289"/>
      <c r="H1597" s="290"/>
    </row>
    <row r="1598" spans="3:8" x14ac:dyDescent="0.25">
      <c r="C1598" s="73"/>
      <c r="D1598" s="72"/>
      <c r="E1598" s="72"/>
      <c r="F1598" s="350"/>
      <c r="G1598" s="289"/>
      <c r="H1598" s="290"/>
    </row>
    <row r="1599" spans="3:8" x14ac:dyDescent="0.25">
      <c r="C1599" s="73"/>
      <c r="D1599" s="72"/>
      <c r="E1599" s="72"/>
      <c r="F1599" s="350"/>
      <c r="G1599" s="289"/>
      <c r="H1599" s="290"/>
    </row>
    <row r="1600" spans="3:8" x14ac:dyDescent="0.25">
      <c r="C1600" s="73"/>
      <c r="D1600" s="72"/>
      <c r="E1600" s="72"/>
      <c r="F1600" s="350"/>
      <c r="G1600" s="289"/>
      <c r="H1600" s="290"/>
    </row>
    <row r="1601" spans="3:8" x14ac:dyDescent="0.25">
      <c r="C1601" s="73"/>
      <c r="D1601" s="72"/>
      <c r="E1601" s="72"/>
      <c r="F1601" s="350"/>
      <c r="G1601" s="289"/>
      <c r="H1601" s="290"/>
    </row>
    <row r="1602" spans="3:8" x14ac:dyDescent="0.25">
      <c r="C1602" s="73"/>
      <c r="D1602" s="72"/>
      <c r="E1602" s="72"/>
      <c r="F1602" s="350"/>
      <c r="G1602" s="289"/>
      <c r="H1602" s="290"/>
    </row>
    <row r="1603" spans="3:8" x14ac:dyDescent="0.25">
      <c r="C1603" s="73"/>
      <c r="D1603" s="72"/>
      <c r="E1603" s="72"/>
      <c r="F1603" s="350"/>
      <c r="G1603" s="289"/>
      <c r="H1603" s="290"/>
    </row>
    <row r="1604" spans="3:8" x14ac:dyDescent="0.25">
      <c r="C1604" s="73"/>
      <c r="D1604" s="72"/>
      <c r="E1604" s="72"/>
      <c r="F1604" s="350"/>
      <c r="G1604" s="289"/>
      <c r="H1604" s="290"/>
    </row>
  </sheetData>
  <mergeCells count="221">
    <mergeCell ref="A633:H633"/>
    <mergeCell ref="A724:A725"/>
    <mergeCell ref="A1031:A1032"/>
    <mergeCell ref="B1031:B1032"/>
    <mergeCell ref="C1031:C1032"/>
    <mergeCell ref="C578:D578"/>
    <mergeCell ref="E582:E583"/>
    <mergeCell ref="F582:F583"/>
    <mergeCell ref="F593:F594"/>
    <mergeCell ref="F614:F615"/>
    <mergeCell ref="F724:F725"/>
    <mergeCell ref="C718:D718"/>
    <mergeCell ref="G582:G583"/>
    <mergeCell ref="D593:D594"/>
    <mergeCell ref="G614:G615"/>
    <mergeCell ref="E593:E594"/>
    <mergeCell ref="E636:E637"/>
    <mergeCell ref="F636:F637"/>
    <mergeCell ref="E614:E615"/>
    <mergeCell ref="B591:H591"/>
    <mergeCell ref="H593:H594"/>
    <mergeCell ref="H614:H615"/>
    <mergeCell ref="H636:H637"/>
    <mergeCell ref="A736:A737"/>
    <mergeCell ref="A928:A929"/>
    <mergeCell ref="B928:B929"/>
    <mergeCell ref="C928:C929"/>
    <mergeCell ref="D762:D763"/>
    <mergeCell ref="A847:A848"/>
    <mergeCell ref="B965:G966"/>
    <mergeCell ref="A762:A763"/>
    <mergeCell ref="B762:B763"/>
    <mergeCell ref="D847:D848"/>
    <mergeCell ref="C847:C848"/>
    <mergeCell ref="A873:A874"/>
    <mergeCell ref="A915:A916"/>
    <mergeCell ref="D912:G913"/>
    <mergeCell ref="B873:B874"/>
    <mergeCell ref="C873:C874"/>
    <mergeCell ref="B736:B737"/>
    <mergeCell ref="A748:A749"/>
    <mergeCell ref="B748:B749"/>
    <mergeCell ref="C748:C749"/>
    <mergeCell ref="D748:D749"/>
    <mergeCell ref="C762:C763"/>
    <mergeCell ref="C736:C737"/>
    <mergeCell ref="A888:A889"/>
    <mergeCell ref="C888:C889"/>
    <mergeCell ref="D873:D874"/>
    <mergeCell ref="A902:A903"/>
    <mergeCell ref="B902:B903"/>
    <mergeCell ref="C902:C903"/>
    <mergeCell ref="D902:D903"/>
    <mergeCell ref="G1091:H1091"/>
    <mergeCell ref="G1003:G1004"/>
    <mergeCell ref="E1053:E1054"/>
    <mergeCell ref="F1053:F1054"/>
    <mergeCell ref="G1053:G1054"/>
    <mergeCell ref="F1081:F1082"/>
    <mergeCell ref="B1053:B1054"/>
    <mergeCell ref="C1053:C1054"/>
    <mergeCell ref="D1053:D1054"/>
    <mergeCell ref="G1069:G1070"/>
    <mergeCell ref="D1031:D1032"/>
    <mergeCell ref="E1031:E1032"/>
    <mergeCell ref="F1031:F1032"/>
    <mergeCell ref="H1031:H1032"/>
    <mergeCell ref="H1053:H1054"/>
    <mergeCell ref="H1069:H1070"/>
    <mergeCell ref="H1081:H1082"/>
    <mergeCell ref="B1051:H1051"/>
    <mergeCell ref="B1067:H1067"/>
    <mergeCell ref="A1028:H1029"/>
    <mergeCell ref="A1081:A1082"/>
    <mergeCell ref="B1081:B1082"/>
    <mergeCell ref="C1081:C1082"/>
    <mergeCell ref="A1053:A1054"/>
    <mergeCell ref="D1000:H1000"/>
    <mergeCell ref="D1003:D1004"/>
    <mergeCell ref="E1003:E1004"/>
    <mergeCell ref="F1003:F1004"/>
    <mergeCell ref="E1081:E1082"/>
    <mergeCell ref="B1079:H1079"/>
    <mergeCell ref="D1081:D1082"/>
    <mergeCell ref="G1081:G1082"/>
    <mergeCell ref="G1031:G1032"/>
    <mergeCell ref="A1069:A1070"/>
    <mergeCell ref="B1069:B1070"/>
    <mergeCell ref="C1069:C1070"/>
    <mergeCell ref="D1069:D1070"/>
    <mergeCell ref="E1069:E1070"/>
    <mergeCell ref="F1069:F1070"/>
    <mergeCell ref="A1003:A1004"/>
    <mergeCell ref="B1003:B1004"/>
    <mergeCell ref="B975:H976"/>
    <mergeCell ref="C978:C979"/>
    <mergeCell ref="E978:E979"/>
    <mergeCell ref="A968:A969"/>
    <mergeCell ref="A990:A991"/>
    <mergeCell ref="B990:B991"/>
    <mergeCell ref="C990:C991"/>
    <mergeCell ref="H957:H958"/>
    <mergeCell ref="G968:G969"/>
    <mergeCell ref="C968:C969"/>
    <mergeCell ref="D968:D969"/>
    <mergeCell ref="E968:E969"/>
    <mergeCell ref="F978:F979"/>
    <mergeCell ref="G978:G979"/>
    <mergeCell ref="A978:A979"/>
    <mergeCell ref="B978:B979"/>
    <mergeCell ref="D978:D979"/>
    <mergeCell ref="A957:A958"/>
    <mergeCell ref="B957:B958"/>
    <mergeCell ref="C957:C958"/>
    <mergeCell ref="D957:D958"/>
    <mergeCell ref="C1003:C1004"/>
    <mergeCell ref="G990:G991"/>
    <mergeCell ref="E990:E991"/>
    <mergeCell ref="F990:F991"/>
    <mergeCell ref="B968:B969"/>
    <mergeCell ref="D990:D991"/>
    <mergeCell ref="B988:H988"/>
    <mergeCell ref="H968:H969"/>
    <mergeCell ref="H762:H763"/>
    <mergeCell ref="H888:H889"/>
    <mergeCell ref="H902:H903"/>
    <mergeCell ref="H915:H916"/>
    <mergeCell ref="H928:H929"/>
    <mergeCell ref="F957:F958"/>
    <mergeCell ref="D888:D889"/>
    <mergeCell ref="E888:E889"/>
    <mergeCell ref="F888:F889"/>
    <mergeCell ref="G888:G889"/>
    <mergeCell ref="E902:E903"/>
    <mergeCell ref="F902:F903"/>
    <mergeCell ref="G902:G903"/>
    <mergeCell ref="G928:G929"/>
    <mergeCell ref="F928:F929"/>
    <mergeCell ref="D924:G926"/>
    <mergeCell ref="F8:F9"/>
    <mergeCell ref="G8:G9"/>
    <mergeCell ref="C4:G4"/>
    <mergeCell ref="A5:H5"/>
    <mergeCell ref="C575:D575"/>
    <mergeCell ref="C6:G6"/>
    <mergeCell ref="A8:A9"/>
    <mergeCell ref="B8:B9"/>
    <mergeCell ref="D8:D9"/>
    <mergeCell ref="H8:H9"/>
    <mergeCell ref="G579:H579"/>
    <mergeCell ref="C8:C9"/>
    <mergeCell ref="B721:H722"/>
    <mergeCell ref="A582:A583"/>
    <mergeCell ref="B582:B583"/>
    <mergeCell ref="C582:C583"/>
    <mergeCell ref="D582:D583"/>
    <mergeCell ref="B580:H580"/>
    <mergeCell ref="G593:G594"/>
    <mergeCell ref="A636:A637"/>
    <mergeCell ref="B636:B637"/>
    <mergeCell ref="C636:C637"/>
    <mergeCell ref="A593:A594"/>
    <mergeCell ref="B593:B594"/>
    <mergeCell ref="A614:A615"/>
    <mergeCell ref="B614:B615"/>
    <mergeCell ref="C593:C594"/>
    <mergeCell ref="C614:C615"/>
    <mergeCell ref="E8:E9"/>
    <mergeCell ref="C576:D576"/>
    <mergeCell ref="C577:D577"/>
    <mergeCell ref="D634:H634"/>
    <mergeCell ref="B611:H611"/>
    <mergeCell ref="B612:H612"/>
    <mergeCell ref="D614:D615"/>
    <mergeCell ref="E724:E725"/>
    <mergeCell ref="D928:D929"/>
    <mergeCell ref="D885:G886"/>
    <mergeCell ref="D744:G746"/>
    <mergeCell ref="G762:G763"/>
    <mergeCell ref="G847:G848"/>
    <mergeCell ref="B733:H733"/>
    <mergeCell ref="E736:E737"/>
    <mergeCell ref="E847:E848"/>
    <mergeCell ref="B888:B889"/>
    <mergeCell ref="G636:G637"/>
    <mergeCell ref="D736:D737"/>
    <mergeCell ref="E748:E749"/>
    <mergeCell ref="D759:G759"/>
    <mergeCell ref="F762:F763"/>
    <mergeCell ref="B724:B725"/>
    <mergeCell ref="C724:C725"/>
    <mergeCell ref="B845:H845"/>
    <mergeCell ref="G748:G749"/>
    <mergeCell ref="D724:D725"/>
    <mergeCell ref="E762:E763"/>
    <mergeCell ref="G724:G725"/>
    <mergeCell ref="B870:H870"/>
    <mergeCell ref="C630:D630"/>
    <mergeCell ref="D636:D637"/>
    <mergeCell ref="B871:H871"/>
    <mergeCell ref="B844:H844"/>
    <mergeCell ref="F847:F848"/>
    <mergeCell ref="G736:G737"/>
    <mergeCell ref="F968:F969"/>
    <mergeCell ref="G957:G958"/>
    <mergeCell ref="G873:G874"/>
    <mergeCell ref="E873:E874"/>
    <mergeCell ref="F873:F874"/>
    <mergeCell ref="E957:E958"/>
    <mergeCell ref="D899:G900"/>
    <mergeCell ref="B847:B848"/>
    <mergeCell ref="F748:F749"/>
    <mergeCell ref="F736:F737"/>
    <mergeCell ref="E928:E929"/>
    <mergeCell ref="B954:H955"/>
    <mergeCell ref="B915:B916"/>
    <mergeCell ref="C915:C916"/>
    <mergeCell ref="D915:D916"/>
    <mergeCell ref="E915:E916"/>
    <mergeCell ref="F915:F916"/>
    <mergeCell ref="G915:G916"/>
  </mergeCells>
  <phoneticPr fontId="0" type="noConversion"/>
  <pageMargins left="1.1417322834645669" right="0" top="0.35433070866141736" bottom="0.59055118110236227" header="0.31496062992125984" footer="0.31496062992125984"/>
  <pageSetup paperSize="9" scale="41" fitToHeight="6" orientation="portrait" horizontalDpi="4294967293" r:id="rId1"/>
  <headerFooter alignWithMargins="0"/>
  <rowBreaks count="1" manualBreakCount="1">
    <brk id="389" max="9" man="1"/>
  </rowBreaks>
  <ignoredErrors>
    <ignoredError sqref="A827:C8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Квітень</vt:lpstr>
      <vt:lpstr>Квітень!Область_печати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victor08</dc:creator>
  <cp:lastModifiedBy>Користувач Windows</cp:lastModifiedBy>
  <cp:lastPrinted>2022-02-02T06:48:59Z</cp:lastPrinted>
  <dcterms:created xsi:type="dcterms:W3CDTF">2011-10-10T10:32:03Z</dcterms:created>
  <dcterms:modified xsi:type="dcterms:W3CDTF">2022-02-02T07:42:39Z</dcterms:modified>
</cp:coreProperties>
</file>