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345"/>
  </bookViews>
  <sheets>
    <sheet name="дод 10 по КЕКВ" sheetId="2" r:id="rId1"/>
  </sheets>
  <definedNames>
    <definedName name="_xlnm.Print_Area" localSheetId="0">'дод 10 по КЕКВ'!$A$1:$L$491</definedName>
  </definedNames>
  <calcPr calcId="125725"/>
</workbook>
</file>

<file path=xl/calcChain.xml><?xml version="1.0" encoding="utf-8"?>
<calcChain xmlns="http://schemas.openxmlformats.org/spreadsheetml/2006/main">
  <c r="F473" i="2"/>
  <c r="G264"/>
  <c r="H264"/>
  <c r="I264"/>
  <c r="J264"/>
  <c r="K264"/>
  <c r="K263" s="1"/>
  <c r="F51"/>
  <c r="F50"/>
  <c r="F105"/>
  <c r="F108"/>
  <c r="F121"/>
  <c r="F127"/>
  <c r="F136"/>
  <c r="F180"/>
  <c r="F211"/>
  <c r="F226"/>
  <c r="F225" s="1"/>
  <c r="F219"/>
  <c r="F238"/>
  <c r="F234" s="1"/>
  <c r="F247"/>
  <c r="F257"/>
  <c r="F256" s="1"/>
  <c r="F255" s="1"/>
  <c r="F478"/>
  <c r="K247"/>
  <c r="G226"/>
  <c r="G225"/>
  <c r="H226"/>
  <c r="H225"/>
  <c r="I226"/>
  <c r="I225"/>
  <c r="J226"/>
  <c r="K226"/>
  <c r="K225" s="1"/>
  <c r="G19"/>
  <c r="G494" s="1"/>
  <c r="G23"/>
  <c r="G25"/>
  <c r="G28"/>
  <c r="G51"/>
  <c r="G50" s="1"/>
  <c r="G58"/>
  <c r="G62"/>
  <c r="G61"/>
  <c r="G68"/>
  <c r="G70"/>
  <c r="G77"/>
  <c r="G104"/>
  <c r="G112"/>
  <c r="G108" s="1"/>
  <c r="G114"/>
  <c r="G115"/>
  <c r="G121"/>
  <c r="G127"/>
  <c r="G137"/>
  <c r="G136"/>
  <c r="G144"/>
  <c r="G146"/>
  <c r="G143" s="1"/>
  <c r="G496" s="1"/>
  <c r="G150"/>
  <c r="F58"/>
  <c r="F61"/>
  <c r="F494"/>
  <c r="F68"/>
  <c r="F70"/>
  <c r="F77"/>
  <c r="F79"/>
  <c r="F80"/>
  <c r="F81"/>
  <c r="F82"/>
  <c r="F83"/>
  <c r="F84"/>
  <c r="F86"/>
  <c r="F87"/>
  <c r="F88"/>
  <c r="F89"/>
  <c r="F90"/>
  <c r="F91"/>
  <c r="F92"/>
  <c r="F93"/>
  <c r="F94"/>
  <c r="F95"/>
  <c r="F96"/>
  <c r="F97"/>
  <c r="F98"/>
  <c r="F99"/>
  <c r="F100"/>
  <c r="F101"/>
  <c r="F102"/>
  <c r="F104"/>
  <c r="F144"/>
  <c r="F146"/>
  <c r="F150"/>
  <c r="F35"/>
  <c r="F17" s="1"/>
  <c r="L365"/>
  <c r="F451"/>
  <c r="G454"/>
  <c r="H455"/>
  <c r="H454"/>
  <c r="I454"/>
  <c r="J454"/>
  <c r="K466"/>
  <c r="F454"/>
  <c r="G468"/>
  <c r="G497"/>
  <c r="H470"/>
  <c r="I468"/>
  <c r="I497" s="1"/>
  <c r="J468"/>
  <c r="J497" s="1"/>
  <c r="K468"/>
  <c r="K497" s="1"/>
  <c r="F471"/>
  <c r="F482"/>
  <c r="F481"/>
  <c r="F498" s="1"/>
  <c r="F235"/>
  <c r="G211"/>
  <c r="H211"/>
  <c r="I211"/>
  <c r="J211"/>
  <c r="K211"/>
  <c r="G180"/>
  <c r="H180"/>
  <c r="I180"/>
  <c r="J180"/>
  <c r="K180"/>
  <c r="G160"/>
  <c r="G161"/>
  <c r="G162"/>
  <c r="H158"/>
  <c r="H163"/>
  <c r="H164"/>
  <c r="H165"/>
  <c r="H166"/>
  <c r="H167"/>
  <c r="I157"/>
  <c r="J157"/>
  <c r="K157"/>
  <c r="F163"/>
  <c r="F164"/>
  <c r="F165"/>
  <c r="F166"/>
  <c r="F167"/>
  <c r="F154"/>
  <c r="H144"/>
  <c r="H146"/>
  <c r="H143" s="1"/>
  <c r="H496"/>
  <c r="I144"/>
  <c r="I146"/>
  <c r="I143" s="1"/>
  <c r="I496" s="1"/>
  <c r="J144"/>
  <c r="J146"/>
  <c r="J143" s="1"/>
  <c r="J496"/>
  <c r="K144"/>
  <c r="K146"/>
  <c r="K143" s="1"/>
  <c r="K496" s="1"/>
  <c r="H139"/>
  <c r="H140"/>
  <c r="H136" s="1"/>
  <c r="I136"/>
  <c r="J136"/>
  <c r="K136"/>
  <c r="H129"/>
  <c r="H130"/>
  <c r="H131"/>
  <c r="H133"/>
  <c r="H134"/>
  <c r="I127"/>
  <c r="J127"/>
  <c r="K127"/>
  <c r="H122"/>
  <c r="H123"/>
  <c r="H121" s="1"/>
  <c r="I121"/>
  <c r="J121"/>
  <c r="K121"/>
  <c r="H108"/>
  <c r="I108"/>
  <c r="J108"/>
  <c r="K108"/>
  <c r="H79"/>
  <c r="H80"/>
  <c r="H81"/>
  <c r="H82"/>
  <c r="H83"/>
  <c r="H84"/>
  <c r="H86"/>
  <c r="H87"/>
  <c r="H88"/>
  <c r="H89"/>
  <c r="H90"/>
  <c r="H91"/>
  <c r="H92"/>
  <c r="H93"/>
  <c r="H94"/>
  <c r="H95"/>
  <c r="H96"/>
  <c r="H97"/>
  <c r="H98"/>
  <c r="H99"/>
  <c r="H100"/>
  <c r="H101"/>
  <c r="H102"/>
  <c r="I65"/>
  <c r="J65"/>
  <c r="J64"/>
  <c r="K65"/>
  <c r="H61"/>
  <c r="I61"/>
  <c r="I494" s="1"/>
  <c r="J61"/>
  <c r="J494" s="1"/>
  <c r="K61"/>
  <c r="K494" s="1"/>
  <c r="H55"/>
  <c r="H56"/>
  <c r="H57"/>
  <c r="I51"/>
  <c r="I50" s="1"/>
  <c r="J51"/>
  <c r="J50"/>
  <c r="K51"/>
  <c r="H34"/>
  <c r="H17" s="1"/>
  <c r="H35"/>
  <c r="H36"/>
  <c r="H37"/>
  <c r="H38"/>
  <c r="H39"/>
  <c r="H40"/>
  <c r="H41"/>
  <c r="H42"/>
  <c r="H43"/>
  <c r="H44"/>
  <c r="H45"/>
  <c r="H47"/>
  <c r="H48"/>
  <c r="I17"/>
  <c r="J17"/>
  <c r="K17"/>
  <c r="K16" s="1"/>
  <c r="J445"/>
  <c r="K451"/>
  <c r="K473"/>
  <c r="L465"/>
  <c r="L464"/>
  <c r="L463"/>
  <c r="L449"/>
  <c r="L448"/>
  <c r="L447"/>
  <c r="L446"/>
  <c r="L444"/>
  <c r="L443"/>
  <c r="L442"/>
  <c r="L441"/>
  <c r="L440"/>
  <c r="L439"/>
  <c r="L438"/>
  <c r="L437"/>
  <c r="L436"/>
  <c r="L435"/>
  <c r="L434"/>
  <c r="L433"/>
  <c r="L432"/>
  <c r="L431"/>
  <c r="L430"/>
  <c r="L429"/>
  <c r="L428"/>
  <c r="L427"/>
  <c r="L426"/>
  <c r="L425"/>
  <c r="L424"/>
  <c r="L423"/>
  <c r="F422"/>
  <c r="L421"/>
  <c r="F420"/>
  <c r="F419"/>
  <c r="F418"/>
  <c r="F417"/>
  <c r="F416"/>
  <c r="F415"/>
  <c r="F414"/>
  <c r="F413"/>
  <c r="F412"/>
  <c r="F411"/>
  <c r="F410"/>
  <c r="F409"/>
  <c r="F408"/>
  <c r="F407"/>
  <c r="I406"/>
  <c r="H406"/>
  <c r="F406"/>
  <c r="I405"/>
  <c r="F405"/>
  <c r="I401"/>
  <c r="F401"/>
  <c r="L401"/>
  <c r="L400"/>
  <c r="I399"/>
  <c r="F399"/>
  <c r="I398"/>
  <c r="H398"/>
  <c r="F398"/>
  <c r="F397"/>
  <c r="I396"/>
  <c r="F396"/>
  <c r="I395"/>
  <c r="F395"/>
  <c r="L394"/>
  <c r="L393"/>
  <c r="F392"/>
  <c r="L391"/>
  <c r="F390"/>
  <c r="F388"/>
  <c r="L387"/>
  <c r="F386"/>
  <c r="J382"/>
  <c r="H381"/>
  <c r="F381"/>
  <c r="H379"/>
  <c r="F379"/>
  <c r="I378"/>
  <c r="F378"/>
  <c r="L378" s="1"/>
  <c r="I377"/>
  <c r="F377"/>
  <c r="I376"/>
  <c r="L376" s="1"/>
  <c r="J374"/>
  <c r="J269" s="1"/>
  <c r="J263" s="1"/>
  <c r="I374"/>
  <c r="L373"/>
  <c r="F372"/>
  <c r="F371"/>
  <c r="L371" s="1"/>
  <c r="F370"/>
  <c r="L370" s="1"/>
  <c r="F369"/>
  <c r="I368"/>
  <c r="F368"/>
  <c r="L368" s="1"/>
  <c r="F367"/>
  <c r="F364"/>
  <c r="L363"/>
  <c r="H361"/>
  <c r="F361"/>
  <c r="F360"/>
  <c r="F359"/>
  <c r="L359" s="1"/>
  <c r="L358"/>
  <c r="L357"/>
  <c r="L356"/>
  <c r="L355"/>
  <c r="H352"/>
  <c r="L352" s="1"/>
  <c r="L351"/>
  <c r="L349"/>
  <c r="F348"/>
  <c r="L348" s="1"/>
  <c r="L347"/>
  <c r="F346"/>
  <c r="F345"/>
  <c r="L345" s="1"/>
  <c r="L344"/>
  <c r="F343"/>
  <c r="L343"/>
  <c r="F342"/>
  <c r="L342"/>
  <c r="F340"/>
  <c r="F339"/>
  <c r="H338"/>
  <c r="F338"/>
  <c r="L338" s="1"/>
  <c r="F337"/>
  <c r="L337" s="1"/>
  <c r="F336"/>
  <c r="F335"/>
  <c r="L335"/>
  <c r="F334"/>
  <c r="L334"/>
  <c r="F333"/>
  <c r="F332"/>
  <c r="L331"/>
  <c r="F330"/>
  <c r="L329"/>
  <c r="H328"/>
  <c r="F328"/>
  <c r="L328"/>
  <c r="F327"/>
  <c r="F326"/>
  <c r="F324"/>
  <c r="F323"/>
  <c r="I322"/>
  <c r="F322"/>
  <c r="I321"/>
  <c r="F321"/>
  <c r="F320"/>
  <c r="L320"/>
  <c r="L319"/>
  <c r="H319"/>
  <c r="F319"/>
  <c r="I318"/>
  <c r="F318"/>
  <c r="F316"/>
  <c r="L316" s="1"/>
  <c r="L315"/>
  <c r="I314"/>
  <c r="F314"/>
  <c r="F313"/>
  <c r="F312"/>
  <c r="H311"/>
  <c r="G311"/>
  <c r="F311"/>
  <c r="F310"/>
  <c r="L310" s="1"/>
  <c r="F309"/>
  <c r="F308"/>
  <c r="L308"/>
  <c r="F307"/>
  <c r="F306"/>
  <c r="L306" s="1"/>
  <c r="L305"/>
  <c r="F303"/>
  <c r="F301"/>
  <c r="L300"/>
  <c r="F299"/>
  <c r="F298"/>
  <c r="I297"/>
  <c r="F297"/>
  <c r="L297"/>
  <c r="H296"/>
  <c r="F296"/>
  <c r="H295"/>
  <c r="F295"/>
  <c r="F294"/>
  <c r="F293"/>
  <c r="F292"/>
  <c r="L292"/>
  <c r="H291"/>
  <c r="L291"/>
  <c r="G290"/>
  <c r="F290"/>
  <c r="L290" s="1"/>
  <c r="F289"/>
  <c r="H288"/>
  <c r="F288"/>
  <c r="H286"/>
  <c r="F281"/>
  <c r="L281" s="1"/>
  <c r="F280"/>
  <c r="F279"/>
  <c r="L279"/>
  <c r="L278"/>
  <c r="G277"/>
  <c r="G269" s="1"/>
  <c r="L275"/>
  <c r="L274"/>
  <c r="L273"/>
  <c r="L272"/>
  <c r="G271"/>
  <c r="F270"/>
  <c r="J58"/>
  <c r="J104"/>
  <c r="J16"/>
  <c r="J150"/>
  <c r="H241"/>
  <c r="H242"/>
  <c r="H238"/>
  <c r="H234" s="1"/>
  <c r="H59"/>
  <c r="H494" s="1"/>
  <c r="G258"/>
  <c r="G259"/>
  <c r="G257"/>
  <c r="G256" s="1"/>
  <c r="G255" s="1"/>
  <c r="G451"/>
  <c r="G473"/>
  <c r="H106"/>
  <c r="H105" s="1"/>
  <c r="H104"/>
  <c r="H150"/>
  <c r="H257"/>
  <c r="H256" s="1"/>
  <c r="H255" s="1"/>
  <c r="H451"/>
  <c r="H473"/>
  <c r="I104"/>
  <c r="I150"/>
  <c r="I257"/>
  <c r="I256" s="1"/>
  <c r="I255"/>
  <c r="I451"/>
  <c r="I473"/>
  <c r="J257"/>
  <c r="J451"/>
  <c r="J473"/>
  <c r="K104"/>
  <c r="K150"/>
  <c r="K257"/>
  <c r="K256" s="1"/>
  <c r="K255" s="1"/>
  <c r="F267"/>
  <c r="F264"/>
  <c r="I58"/>
  <c r="I64"/>
  <c r="I16" s="1"/>
  <c r="K58"/>
  <c r="K64"/>
  <c r="G154"/>
  <c r="H154"/>
  <c r="I154"/>
  <c r="J154"/>
  <c r="J153" s="1"/>
  <c r="K154"/>
  <c r="G219"/>
  <c r="G218" s="1"/>
  <c r="H219"/>
  <c r="H218" s="1"/>
  <c r="I219"/>
  <c r="I218" s="1"/>
  <c r="J219"/>
  <c r="J225"/>
  <c r="J218"/>
  <c r="K219"/>
  <c r="K218"/>
  <c r="F244"/>
  <c r="G235"/>
  <c r="G238"/>
  <c r="G244"/>
  <c r="G247"/>
  <c r="H235"/>
  <c r="H244"/>
  <c r="H247"/>
  <c r="I235"/>
  <c r="I238"/>
  <c r="I244"/>
  <c r="I247"/>
  <c r="J235"/>
  <c r="J238"/>
  <c r="J244"/>
  <c r="J247"/>
  <c r="K235"/>
  <c r="K238"/>
  <c r="K234" s="1"/>
  <c r="K244"/>
  <c r="J256"/>
  <c r="J255" s="1"/>
  <c r="G478"/>
  <c r="G483"/>
  <c r="G484"/>
  <c r="G482" s="1"/>
  <c r="G481"/>
  <c r="G498" s="1"/>
  <c r="H478"/>
  <c r="H477" s="1"/>
  <c r="H481"/>
  <c r="H498"/>
  <c r="I478"/>
  <c r="I481"/>
  <c r="I477" s="1"/>
  <c r="J478"/>
  <c r="J477"/>
  <c r="J481"/>
  <c r="J498"/>
  <c r="K478"/>
  <c r="K477"/>
  <c r="K481"/>
  <c r="K498"/>
  <c r="G157"/>
  <c r="G153" s="1"/>
  <c r="G17"/>
  <c r="H58"/>
  <c r="G234"/>
  <c r="H65"/>
  <c r="H64" s="1"/>
  <c r="H468"/>
  <c r="H497" s="1"/>
  <c r="F470"/>
  <c r="F468"/>
  <c r="F497" s="1"/>
  <c r="G263"/>
  <c r="K445"/>
  <c r="K269" s="1"/>
  <c r="F477"/>
  <c r="J234"/>
  <c r="I498"/>
  <c r="K50"/>
  <c r="K454"/>
  <c r="L466"/>
  <c r="F65"/>
  <c r="F64" s="1"/>
  <c r="J495"/>
  <c r="J499" s="1"/>
  <c r="K495" l="1"/>
  <c r="K499" s="1"/>
  <c r="J486"/>
  <c r="J501" s="1"/>
  <c r="H127"/>
  <c r="H157"/>
  <c r="H153" s="1"/>
  <c r="I495"/>
  <c r="I499" s="1"/>
  <c r="G477"/>
  <c r="L445"/>
  <c r="I234"/>
  <c r="K153"/>
  <c r="K486" s="1"/>
  <c r="K501" s="1"/>
  <c r="I153"/>
  <c r="I486" s="1"/>
  <c r="I501" s="1"/>
  <c r="F269"/>
  <c r="F263" s="1"/>
  <c r="H269"/>
  <c r="H263" s="1"/>
  <c r="I269"/>
  <c r="I263" s="1"/>
  <c r="H51"/>
  <c r="H50" s="1"/>
  <c r="H16" s="1"/>
  <c r="H486" s="1"/>
  <c r="F157"/>
  <c r="F153" s="1"/>
  <c r="F143"/>
  <c r="G65"/>
  <c r="G64" s="1"/>
  <c r="G16" s="1"/>
  <c r="G486" s="1"/>
  <c r="F218"/>
  <c r="H501" l="1"/>
  <c r="F496"/>
  <c r="F16"/>
  <c r="F486" s="1"/>
  <c r="H495"/>
  <c r="H499" s="1"/>
  <c r="F495"/>
  <c r="F499" s="1"/>
  <c r="G495"/>
  <c r="G499" s="1"/>
  <c r="G501" s="1"/>
  <c r="F501" l="1"/>
</calcChain>
</file>

<file path=xl/comments1.xml><?xml version="1.0" encoding="utf-8"?>
<comments xmlns="http://schemas.openxmlformats.org/spreadsheetml/2006/main">
  <authors>
    <author>Автор</author>
  </authors>
  <commentList>
    <comment ref="G277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04.05.-5684,21 проект</t>
        </r>
      </text>
    </comment>
  </commentList>
</comments>
</file>

<file path=xl/sharedStrings.xml><?xml version="1.0" encoding="utf-8"?>
<sst xmlns="http://schemas.openxmlformats.org/spreadsheetml/2006/main" count="631" uniqueCount="492">
  <si>
    <t>Капітальний ремонт каналізаційної мережі по вул.С.Стрільців біля будинку №33 в м. Коломия Івано-Франківської області</t>
  </si>
  <si>
    <t>Капітальний ремонт даху багатоквартирного будинку по вул. Крип'якевича № 34 ОСББ "Крип'якевича +" в м. Коломия Івано-Франківської області</t>
  </si>
  <si>
    <t>Капітальний ремонт покрівлі багатоквартирного будинку по вул. Крип'якевича №36А ОСББ "Крип'якевича +" в м.Коломия Івано-Франківської області</t>
  </si>
  <si>
    <t>Капітальний ремонт внутрішньобудинкових електричних мереж в житловому багатоквартирному будинку по вул. Петлюри 38 в  м. Коломия Івано-Франківської обл</t>
  </si>
  <si>
    <t>Капітальний ремонт сходової клітки в житловому будинку по вул. Коновальця, 9 в м. Коломиї</t>
  </si>
  <si>
    <t>Капітальний ремонт сходових кліток в будинку по вул.Богуна,30 в м.Коломиї</t>
  </si>
  <si>
    <t>0117321</t>
  </si>
  <si>
    <t>Будівництво освітніх установ та закладів</t>
  </si>
  <si>
    <t>Будівництво пандуса в Коломийському ліцею №4 імені Сергія Лисенка по вул.Заньковецької,11 в м.Коломиї</t>
  </si>
  <si>
    <t>Будівництво футбольного поля Коломийського ліцею № 5 по проспекту Грушевського,64 в м. Коломия</t>
  </si>
  <si>
    <t>Будівництво пандуса в Коломийському ліцею №6 імені Героя України Тараса Сенюка  по вул.Леонтовича,14 в м.Коломиї</t>
  </si>
  <si>
    <t>Будівництво футбольного поля  Коломийського ліцею № 6 по вул. Леонтовича,14 в м. Коломия</t>
  </si>
  <si>
    <t>Будівництво пандуса в Коломийській гімназії №7 по вул. Карпатській, 74 в м. Коломиї</t>
  </si>
  <si>
    <t>Будівництво футбольного поля  Коломийської гімназії №7 по вул. Карпатській 74, в м Коломия</t>
  </si>
  <si>
    <t>Нове будівництво футбольного поля  Коломийської гімназії  №10 по вул. Січових Стрільців в м Коломия</t>
  </si>
  <si>
    <t>Реконструкція системи опалення, водопроводу, каналізації і фасаду  Коломийської гімназії №10 по вул. Січових Стрільців,30 в м. Коломиї</t>
  </si>
  <si>
    <t>0117323</t>
  </si>
  <si>
    <t>7323</t>
  </si>
  <si>
    <t>Будівництво установ та закладів соціальної сфери</t>
  </si>
  <si>
    <t>0117325</t>
  </si>
  <si>
    <t>7325</t>
  </si>
  <si>
    <t>Будівництво споруд, установ та закладів фізичної культури і спорту</t>
  </si>
  <si>
    <t>Будівництво типової будівлі басейну "Н2О-CLASSIC"  по вул. Богдана Хмельницького, 67 у м. Коломия</t>
  </si>
  <si>
    <t xml:space="preserve">Нове будівництво футбольного поля по вул. Довбуша, 108 у м. Коломиї </t>
  </si>
  <si>
    <t>Нове будівництво трибуни та огорожі для фізичної культури і спорту в місті Коломия на вул. Гетьмана Івана Мазепи біля будинків 291-293</t>
  </si>
  <si>
    <t>0117340</t>
  </si>
  <si>
    <t>Проектування, реставрація та охорона пам'яток архітектури</t>
  </si>
  <si>
    <t>Реставраційно-ремонтні роботи нежитлового приміщення по вул. С.Петлюри, 11 в м.Коломия Івано-Франківської області</t>
  </si>
  <si>
    <t>Реставраційно- ремонтні роботи малого залу Народного дому м. Коломиї</t>
  </si>
  <si>
    <t>0117350</t>
  </si>
  <si>
    <t>Розробка схем та проектних рішень масового застосування ( на виконання міської цільової програми містобудівного кадастру та оновлення містобудівної документації міста Коломиї на 2017-2021 роки)</t>
  </si>
  <si>
    <t>Департамент соціальної політики</t>
  </si>
  <si>
    <t>0810160</t>
  </si>
  <si>
    <t>0160</t>
  </si>
  <si>
    <t>Керівництво і управління у сфері соціального захисту населення</t>
  </si>
  <si>
    <t>Придбання обладнання</t>
  </si>
  <si>
    <t>Капітальний ремонт житлового будинку по вул. Крип'якевича,36 в м. Коломия Івано-Франківської обл.</t>
  </si>
  <si>
    <t>Капітальний ремонт даху та входів в під'їзд в житловому будинку №8  по вул. В.Стефаника в м.Коломиї</t>
  </si>
  <si>
    <t>Капітальний ремонт внутрібудинкової системи водопостачання  та ремонту покрівлі багатоквартирного житлового будинку ОСББ «Крип'якевича» №36 в м. Коломия Івано-Франківської області</t>
  </si>
  <si>
    <t>2022-2024</t>
  </si>
  <si>
    <t>Капітальний ремонт підвального приміщення по вул. Чорновола, 55</t>
  </si>
  <si>
    <t>0813100</t>
  </si>
  <si>
    <t>0813105</t>
  </si>
  <si>
    <t>Надання соціальних та реабілітаційних послуг громадянам похилого віку, особам з інвалідністю, дітям з інвалідністю в установах соціального обслуговування</t>
  </si>
  <si>
    <t>Надання реабілітаційних послуг особам з інвалідністю та дітям з інвалідністю</t>
  </si>
  <si>
    <t>Капітальний ремонт покрівлі Єдиного центру надання реабілітаційних та соціальних послуг міста Коломиї по вул. Я. Пстрака,2 в</t>
  </si>
  <si>
    <t>2021-2022</t>
  </si>
  <si>
    <t>Управління освіти</t>
  </si>
  <si>
    <t>0610160</t>
  </si>
  <si>
    <t>0611010</t>
  </si>
  <si>
    <t>1010</t>
  </si>
  <si>
    <t>Керівництво і управління у сфері освіти</t>
  </si>
  <si>
    <t>Надання дошкільної освіти</t>
  </si>
  <si>
    <t>Розроблення схем планування та забудови територій (містобудівної документації)</t>
  </si>
  <si>
    <t>0611021</t>
  </si>
  <si>
    <t>Надання загальної середньої освіти закладами загальної середньої освіти</t>
  </si>
  <si>
    <t>Капітальний ремонт покрівлі корпусу старших класів Коломийського ліцею №5 імені Т.Г.Шевченка по пр.М.Грушевського,64 в м.Коломиї</t>
  </si>
  <si>
    <t xml:space="preserve">Капітальний ремонт харчоблоку Воскресинцівського ліцею по вул. Шкільна,2     </t>
  </si>
  <si>
    <t>Нове будівництво малого групового  будинку по вул. Маковея в місті Коломиї</t>
  </si>
  <si>
    <t>Придбання обладнання (для Коломийського ліцею № 4 імені Сергія Лисенка Коломийської міської ради - співфінансування)</t>
  </si>
  <si>
    <t>Прибдання обладнання (для Коломийського ліцею № 8 Коломийської міської ради - співфінансування)</t>
  </si>
  <si>
    <t xml:space="preserve">Придбання обладнання </t>
  </si>
  <si>
    <t xml:space="preserve">Капітальний ремонт покрівлі Коломийського ліцею № 1 імені Василя Стефаника по вул. Адама Міцкевича, 3 в м. Коломиї </t>
  </si>
  <si>
    <t>Капітальний ремонт (заміна вікон, дверей) Коломийського ліцею №2 по вул. М.Лисенка, 24 в м.Коломиї</t>
  </si>
  <si>
    <t>Капітальний ремонт спортивного майданчика Коломийського ліцею №6 імені Героя України Тараса Сенюка по вул. М.Леонтовича, 14 в м.Коломиї</t>
  </si>
  <si>
    <t>Капітальний ремонт спортивного майданчика з синтетичним покриттям Коломийського ліцею № 8 по вул. Є. Коновальця,10 в м.Коломиї</t>
  </si>
  <si>
    <t>Капітальний ремонт (заміна вікон, дверей) Коломийської початкової школи № 20 по вул. О.Маковея,16 в м. Коломиї</t>
  </si>
  <si>
    <t>Капітальний ремонт (заміна вікон, дверей) Шепарівцівської гімназії  по вул. Т. Шевченка, 70 в с. Шепарівці Коломийського району</t>
  </si>
  <si>
    <t>Нове будівництво спортивного залу та майстерень Коломийського ліцею №9  по вул. М. Драгоманова, 1 в м. Коломиї, Івано Франківської області(за робочим проектом "Нове будівництво спортивного залу та майстерень Коломийського НВК №9 "Школа-природничо-математи</t>
  </si>
  <si>
    <t>Капітальний ремонт покрівлі Саджавського ліцею Коломийської міської ради по вул. Українська, 77а в с. Саджавка Надвірнянського району Івано- Франківської області</t>
  </si>
  <si>
    <t>Капітальний ремонт харчоблоку Коломийського ліцею № 5 імені Т.Г.Шевченка по пр. Грушевського,64 в м.Коломиї</t>
  </si>
  <si>
    <t>Капітальний ремонт харчоблоку Коломийського ліцею № 4 імені Сергія Лисенка</t>
  </si>
  <si>
    <t>Капітальний ремонт харчоблоку Коломийського ліцею № 6 імені Героя України Тараса Сенюка по вул.Леонтовича,14 в м.Коломиї</t>
  </si>
  <si>
    <t>Керуючий справами виконавчого комітету                                                                                                                                                                                    Тарас КУХТАР</t>
  </si>
  <si>
    <t>Капітальний ремонт харчоблоку Шепарівцівської філії Коломийського ліцею № 5 імені Т.Г. Шевченка по вул. Т.Г. Шевченка,70, с. Шепарівці Коломийського району</t>
  </si>
  <si>
    <t>Капітальний ремонт покрівлі Коломийської філії № 7 Коломийського ліцею № 5 імені Т.Г.Шевченка по пр. Грушевського,64 в м. Коломиї</t>
  </si>
  <si>
    <t>Капітальний ремонт харчоблоку Саджавського ліцею по вул. Українська,77а в с.Саджавка</t>
  </si>
  <si>
    <t>Капітальний ремонт харчоблоку Товмачицького ліцею по вул.Франка,1, в с.Товмачик</t>
  </si>
  <si>
    <t>Капітальний ремонт покрівлі Коломийського ліцею № 5 імені Т.Г.Шевченка по пр.Грушевського,64 в м. Коломиї</t>
  </si>
  <si>
    <t xml:space="preserve">Капітальний ремонт покрівлі Коломийського ліцею № 8 по вул.Коновальця ,10 в  м. Коломиї             </t>
  </si>
  <si>
    <t>2021-2024</t>
  </si>
  <si>
    <t>Капітальний ремонт харчоблоку Коломийського закладу дошкільної освіти (ясла-садок) № 11 «Сонечко» по вул.М.Лисенка, 18а в м.Коломиї</t>
  </si>
  <si>
    <t>Капітальний ремонт (заміна вікон, дверей) Коломийського закладу дошкільної освіти (ясла-садок) № 14 «Світанок» по вул. М.Лисенка, 9 в м.Коломиї</t>
  </si>
  <si>
    <t>Капітальний ремонт харчоблоку Коломийського закладу дошкільної освіти (ясла-садок) № 3 «Берізка» по вул.Гн.Ковцуняка,1 В в м.Коломиї</t>
  </si>
  <si>
    <t>Капітальний ремонт пральні Коломийського закладу дошкільної освіти (ясла-садок) № 11 по вул. Лисенка, 18а в м. Коломиї</t>
  </si>
  <si>
    <t>Капітальний ремонт харчоблоку Коломийського закладу дошкільної освіти (ясла-садок) № 16 «Орлятко» по пр. М. Грушевського, 78 в м. Коломиї</t>
  </si>
  <si>
    <t>Капітальний ремонт Коломийського закладу дошкільної освіти (ясла-садок)  № 19 «Ромашка» по вул. А.Чайковського,20 в м. Коломиї</t>
  </si>
  <si>
    <t>Капітальний ремонт (заміна вікон, дверей) Коломийського закладу дошкільної освіти (ясла-садок)  № 19 «Ромашка» по вул. А.Чайковського,20 в м. Коломиї</t>
  </si>
  <si>
    <t>2020-2021</t>
  </si>
  <si>
    <t>Капітальний ремонт харчоблоку Коломийського закладу дошкільної освіти (ясла-садок) комбінованого типу № 2 «Берізка» по вул.Сніжна,11 в м.Коломиї</t>
  </si>
  <si>
    <t>Капітальний ремонт харчоблоку Коломийського закладу дошкільної освіти (ясла –садок) № 5 «Барвінок» по вул. Карпатська,40 б в м.Коломиї</t>
  </si>
  <si>
    <t>Капітальний ремонт покрівлі Коломийського закладу дошкільної освіти (ясла-садок) № 14 «Світанок» по вул. Лисенка,9 в м. Коломиї</t>
  </si>
  <si>
    <t>Капітальний ремонт харчоблоку Коломийського закладу дошкільної освіти (ясла-садок)  № 17 «Калинка» по вул.Стефаника,11а в м.Коломиї</t>
  </si>
  <si>
    <t>Капітальний ремонт покрівлі                  Коломийського закладу дошкільної освіти (ясла-садок)  № 9 «Веселка» по вул. С.Гординського,5 в  м. Коломиї</t>
  </si>
  <si>
    <t>Капітальний ремонт харчоблоку Коломийського закладу дошкільної освіти (ясла-садок) № 18 «Ластівка» по вул. Староміська,70 в м. Коломиї</t>
  </si>
  <si>
    <t>Капітальний ремонт харчоблоку Саджавського закладу дошкільної освіти (ясла-садок) «Дударик» по вул.Кобилянської ,3а, в с.Саджавка</t>
  </si>
  <si>
    <t>Капітальний ремонт харчоблоку Коломийського закладу дошкільної освіти (ясла-садок) № 14 «Світанок» по вул. Лисенка, 9 в м. Коломиї</t>
  </si>
  <si>
    <t xml:space="preserve">
Капітальний ремонт харчоблоку Корницького зкладу дошкільної освіти (ясла-садок) «Калинка» по вул.Перемоги,26,  в с. Корнич
</t>
  </si>
  <si>
    <t>0611070</t>
  </si>
  <si>
    <t>Наданання позашкільної освіти закладами позашкільної  освіти, заходи із позашкільної роботи з дітьми</t>
  </si>
  <si>
    <t>Капітальний ремонт системи опалення Коломийської станції юних туристів по вул.О.Кобилянської,21 в м.Коломиї</t>
  </si>
  <si>
    <t>Капітальний ремонт системи опалення Коломийського будинку дитячої та юнацької творчості по вул.Театральна,23 в м.Коломиї</t>
  </si>
  <si>
    <t>Капітальний ремонт приміщення по вул. Чорновола, 55</t>
  </si>
  <si>
    <t>Придбання обладнання (спец.транспорт для перевезення осіб з інвалідністю)</t>
  </si>
  <si>
    <t>Управління культури</t>
  </si>
  <si>
    <t>1014030</t>
  </si>
  <si>
    <t>4030</t>
  </si>
  <si>
    <t>Забезпечення діяльності бібліотек</t>
  </si>
  <si>
    <t>Надання спеціальної освіти мистецькими школами</t>
  </si>
  <si>
    <t>2022-2023</t>
  </si>
  <si>
    <t>Розроблення  містобудівної документації (генеральні плани, плани зонування, детальні плани території М1:2000)</t>
  </si>
  <si>
    <t>Придбання обладнання (комп'ютерної техніки)</t>
  </si>
  <si>
    <t>Капітальний ремонт нежитлового приміщення по вул. О. Кобилянської, 1 в м. Коломиї</t>
  </si>
  <si>
    <t>Капітальний ремонт нежитлового приміщення бібліотеки для юнацтва по вул. І. Мазепи, 183 в м. Коломиї</t>
  </si>
  <si>
    <t>1014040</t>
  </si>
  <si>
    <t>4040</t>
  </si>
  <si>
    <t>Забезпечення діяльності музеїв і виставок</t>
  </si>
  <si>
    <t>Забезпечення діяльності палаців і будинків культури, клубів, центрів дозвілля та інших клубних закладів</t>
  </si>
  <si>
    <t>Капітальний ремонт системи опалення, водопостачання та водовідведення  приміщення МПК «Народний дім» в м.Коломиї по вул.Театральній, 27</t>
  </si>
  <si>
    <t>Капітальний ремонт зовнішніх електричних мереж по вул. С. Петлюри, 11 в м. Коломиї</t>
  </si>
  <si>
    <t>Відділ молоді та спорту</t>
  </si>
  <si>
    <t>Розвиток дитячо-юнацького та резервного спорту</t>
  </si>
  <si>
    <t>Утримання та навчально-тренувальна робота комунальних дитячо-юнацьких спортивних шкіл</t>
  </si>
  <si>
    <t>1115030</t>
  </si>
  <si>
    <t>Капітальний ремонт спортивного залу КДЮСШ по вул. Петлюри,17б, в м. Коломия Івано-Франківської області</t>
  </si>
  <si>
    <t>Капітальний ремонт вбиральні на стадіоні «Юність» по вул. С. Петлюри, 11а в м. Коломия Івано-Франківської обл.</t>
  </si>
  <si>
    <t>Капітальний ремонт приміщень гуртожитку КДЮСШ по вул. Петлюри, 17б в м. Коломия Івано-Франківської області</t>
  </si>
  <si>
    <t>Капітальний ремонт гімнастичного залу КДЮСШ по бул. Л. Українки,43 в м. Коломия Івано-Франківської області</t>
  </si>
  <si>
    <t>2021-2025</t>
  </si>
  <si>
    <t>Управління комунального господарства</t>
  </si>
  <si>
    <t>Керівництво і управління у сфері управління комунального господарства</t>
  </si>
  <si>
    <t>Організація благоустрою населених пунктів</t>
  </si>
  <si>
    <t>3117323</t>
  </si>
  <si>
    <t>3117370</t>
  </si>
  <si>
    <t>Реалізація інших заходів щодо соціально-економічного розвитку територій</t>
  </si>
  <si>
    <t>3118311</t>
  </si>
  <si>
    <t>8311</t>
  </si>
  <si>
    <t>Охорона та раціональне використання природних ресурсів</t>
  </si>
  <si>
    <t>Внески до статутного капіталу суб'єктів господарювання</t>
  </si>
  <si>
    <t>Фінансове управління</t>
  </si>
  <si>
    <t>3710160</t>
  </si>
  <si>
    <t>Керівництво і управління у сфері фінансів</t>
  </si>
  <si>
    <t>3719770</t>
  </si>
  <si>
    <t>Інші субвенції з місцевого бюджету</t>
  </si>
  <si>
    <t>Субвенція обласному бюджету на придбання обладнання в тому числі:</t>
  </si>
  <si>
    <t>Сучасних меблів</t>
  </si>
  <si>
    <t>Комп'ютерного обладнання</t>
  </si>
  <si>
    <t>Нове будівництво світлофора по вул.Карпатській в м.Коломиї</t>
  </si>
  <si>
    <t>Код Програмної класифікації видатків та кредитування місцевого бюджету</t>
  </si>
  <si>
    <t>Загальний період реалізації проекту (рік початку і завершення)</t>
  </si>
  <si>
    <t>2020 рік   (звіт)</t>
  </si>
  <si>
    <t>2021 рік (затверджено)</t>
  </si>
  <si>
    <t>2022 рік  (план)</t>
  </si>
  <si>
    <t>2023 рік   (план)</t>
  </si>
  <si>
    <t>2024 рік   (план)</t>
  </si>
  <si>
    <t>Очікуваний рівень готовності проекту  на кінець 2024 року (план), %</t>
  </si>
  <si>
    <t>Нове будівництво майданчика для системи підземного збору і зберігання сміття по вул.Шевченка в м.Коломиї</t>
  </si>
  <si>
    <t>Нове будівництво водопроводу в с.Королівка Коломийської територіальної громади</t>
  </si>
  <si>
    <t>Нове будівництво водопроводу від буд.№21а до буд.№55 по вул.Шарлая в м.Коломиї</t>
  </si>
  <si>
    <t>Нове будівництво водопроводу від вул.Гордієнка до вул.Косачівської в м.Коломиї</t>
  </si>
  <si>
    <t>Нове будівництво водопроводу по вул.Косачівській в м.Коломиї</t>
  </si>
  <si>
    <t>Нове будівництво водопроводу по вул.Топоровського в м.Коломиї</t>
  </si>
  <si>
    <t>Нове будівництво водопроводу по вул.Павлюка ,Дорошенка,Граничній в м.Коломиї</t>
  </si>
  <si>
    <t>Статуний капітал КП "Коломияводоканал"</t>
  </si>
  <si>
    <t>Статуний капітал КП "Полігон Екологія"</t>
  </si>
  <si>
    <t>Статутний капітал КП «Коломиятеплосервіс»</t>
  </si>
  <si>
    <t>Всього :</t>
  </si>
  <si>
    <t>Капітальний ремонт приміщення по вул.Привокзальна,2 в м.Коломиї</t>
  </si>
  <si>
    <t>Капітальний ремонт нежитлового приміщення центру надання адміністративних послуг по площі Привокзальній, 2А/1 в місті Коломиї</t>
  </si>
  <si>
    <t>Капітальний ремонт нежитлової будівлі по вулиці С.Петлюри,85  в місті Коломиї</t>
  </si>
  <si>
    <t>Капітальний ремонт нежитлової будівлі по вулиці С.Стрільців, 23   в місті Коломиї</t>
  </si>
  <si>
    <t>Капітальний ремонт нежитлового приміщення по вул. Українська, 68Б в с. Саджавка</t>
  </si>
  <si>
    <t>Капітальний ремонт футбольного поля зі штучним покриттям в с. Воскресинці</t>
  </si>
  <si>
    <t>Капітальний ремонт в приміщенні амбулаторії в селі Товмачик вул.Шкільна 34-А Коломийського району Івано-Франківської області</t>
  </si>
  <si>
    <t>Капітальний ремонт  приміщення адмінбудинку по вул. Шкільній, 34а в селі Товмачик Коломийського району, Івано-Франківської області</t>
  </si>
  <si>
    <t>Капітальний ремонт спортивного майданчика по вул. Перемоги, 14 в с. Корнич</t>
  </si>
  <si>
    <t>Капітальний ремонт нежитлового приміщення по вул. Шевченка, 70 в с. Шепарівці</t>
  </si>
  <si>
    <t>Реконструкція нежитлової будівлі по проспекту М.Грушевського,1б в місті Коломиї</t>
  </si>
  <si>
    <t>Реконструкція нежитлової будівлі по вулиці Лермонтова,3 в місті Коломиї</t>
  </si>
  <si>
    <t>0112010</t>
  </si>
  <si>
    <t>2010</t>
  </si>
  <si>
    <t>Багатопрофільна стаціонарна медична допомога населенню</t>
  </si>
  <si>
    <t>Придбання медичного обладнання (Неінвазивна система вентиляції (BIPAP / CPAP)</t>
  </si>
  <si>
    <t>Капітальний ремонт багатоквартирного будинку по вул. Довженка, 16 в м. Коломиї</t>
  </si>
  <si>
    <t>Капітальний ремонт ливневої каналізації багатоквартирного будинку по вул. Довженка, 14 в м. Коломиї</t>
  </si>
  <si>
    <t>Капітальний ремонт багатоквартирного будинку по вул. Довженка, 12 в м. Коломиї</t>
  </si>
  <si>
    <t>Капітальний ремонт даху в житловому будинку №38 по вул. Ю.Шухевича та №17 по вул.С.Бандери в м.Коломия</t>
  </si>
  <si>
    <t>Ремонт пасажирських ліфтів вул.Січавих Стрільців 23, п.1,п.2,п.3, м Коломия</t>
  </si>
  <si>
    <t>Капітальний ремонт сходових кліток в багатоквартирному будинку  по вул. Костомарова,2 в м.Коломия Івано-Франківської області</t>
  </si>
  <si>
    <t>Капітальний ремонт елементів покрівлі житлового будинку по вул.Костомарова,2 в м.Коломия Івано-Франківської області</t>
  </si>
  <si>
    <t>Капітальний ремонт даху будинку за адресою вул.Моцарта,20 в м.Коломия Івано-Франківської області</t>
  </si>
  <si>
    <t>Капітальний ремонт покрівлі багатоквартирного житлового будинку по пр-ту Грушевського, 45А в м. Коломия Івано-Франківської області</t>
  </si>
  <si>
    <t>Капітальний ремонт даху (заміна покриття) житлового будинку по вул. І.Мазепи, 78 в м.Коломия Івано-Франківської області</t>
  </si>
  <si>
    <t>0116082</t>
  </si>
  <si>
    <t>Придбання житла для окремих категорій населення відповідно до законодавства</t>
  </si>
  <si>
    <t>Програма "Забезпечення тимчасовим житлом внутрішньо-переміщених осіб на 2021 рік"</t>
  </si>
  <si>
    <t>Придбання житла</t>
  </si>
  <si>
    <t>Будівництво пандуса в Коломийському ліцеї №1 імені В.Стефаника по вул.Міцкевича,3 в м.Коломиї</t>
  </si>
  <si>
    <t>Нове будівництво паркової зони по вул.Мазепи в м.Коломиї (кадастровий номер 2610600000:27:003:0004)</t>
  </si>
  <si>
    <t>"Нове будівництво модульного спортивного залу КУ "Молодіжний центр" в с.Королівка по вул.Спортивна, Коломийського району, Івано-Франківської області" (коригування)</t>
  </si>
  <si>
    <t>Реконструкція  бігових доріжок та легкоатлетичних секторів стадіону «Юність» по вулиці Петлюри в місті Коломиї, Івано-Франківської області</t>
  </si>
  <si>
    <t>Реконструкція стадіону по вулиці Спортивна в селі Королівка, Коломийського району, Івано-Франківської області</t>
  </si>
  <si>
    <t>Реставраційно-ремонтні роботи нежитлової будівлі  по проспекту М.Грушевського,1 в місті Коломиї (охоронний № 559)</t>
  </si>
  <si>
    <t>Реставраційно-ремонтні роботи будівлі Музею історії міста, що в м.Коломиї по вул.Шухевича, 80 (охоронний № 561)</t>
  </si>
  <si>
    <t>2019-2024</t>
  </si>
  <si>
    <t>Капітальний ремонт міжквартальних проїздів по  вул. Заньковецької, 1 в м.Коломиї</t>
  </si>
  <si>
    <t>Реконструкція та покращення технічного стану озера в парку ім. Т. Шевченка в м. Коломия</t>
  </si>
  <si>
    <t>Реконструкція  парку пам'ятки садово-паркового мистецтва  ім. Кирила Трильовського у місті Коломия</t>
  </si>
  <si>
    <t>Придбання обладнання для «Нової Української школи»</t>
  </si>
  <si>
    <t>Капітальний ремонт харчоблоку Коломийського закладу дошкільної освіти (ясла-садок) № 21 «Пролісок» по вул.Леонтовича,,12 в м.Коломиї</t>
  </si>
  <si>
    <t>Виготовлення проектно-вишукувальних робіт топографо-геодезичної основи М1:200 для актуалізації та інвентаризації містобудівної документації</t>
  </si>
  <si>
    <t>Капітальний ремонт харчоблоку Коломийського закладу дошкільної освіти (ясла-садок) № 7 «Росинка» по вул.Яворницького,9 в м.Коломиї</t>
  </si>
  <si>
    <t>Програма містобудівного кадастру та оновлення містобудівної документації міста Коломиї на 2017-2021 роки</t>
  </si>
  <si>
    <t>Капітальний ремонт дорожнього покриття вул.Достоєвського в м.Коломиї</t>
  </si>
  <si>
    <t>Капітальний ремонт дорожнього покриття вул.Стара дорога в м.Коломиї</t>
  </si>
  <si>
    <t>Капітальний ремонт дорожнього покриття вул.Полуботка в м.Коломиї</t>
  </si>
  <si>
    <t>Капітальний ремонт дорожнього покриття вул.Попадюка в м.Коломиї</t>
  </si>
  <si>
    <t>Капітальний ремонт дорожнього покриття вул.Будівельної в м.Коломиї</t>
  </si>
  <si>
    <t>Капітальний ремонт дорожнього покриття вул.Квіткової в м.Коломиї</t>
  </si>
  <si>
    <t>Капітальний ремонт дорожнього покриття вул.Косівської в м.Коломиї</t>
  </si>
  <si>
    <t>Капітальний ремонт дорожнього покриття вул. П.Орлика в м.Коломиї</t>
  </si>
  <si>
    <t>Капітальний ремонт дорожнього покриття вул.Франка в м.Коломиї</t>
  </si>
  <si>
    <t>Капітальний ремонт дорожнього покриття вул. Шкрумеляка від вул. Січових Стрільців до будинку № 10 в м. Коломиї</t>
  </si>
  <si>
    <t>Капітальний ремонт вул.Навроцького</t>
  </si>
  <si>
    <t>2019-2020</t>
  </si>
  <si>
    <t>Капітальний ремонт дорожнього покриття вул.Гординського в м.Коломиї</t>
  </si>
  <si>
    <t>Капітальний ремонт дорожнього і тротуарного покриття біля будинку №12 по вул. Довженка</t>
  </si>
  <si>
    <t>Капітальний ремонт дорожнього  покриття вул.Сагайдачного від автодорожнього моста до вул. Січових Стрільців в с.Воскресинці Коломийського району</t>
  </si>
  <si>
    <t>Капітальний ремонт дитячого майданчика по вул.Карпатській</t>
  </si>
  <si>
    <t>Капітальний ремонт дитячого майданчика біля будинку №5 по вул.Стефаника</t>
  </si>
  <si>
    <t>Капітальний ремонт дитячого майданчика біля будинку №213 по вул.Франка</t>
  </si>
  <si>
    <t>2018-2021</t>
  </si>
  <si>
    <t>09530000000</t>
  </si>
  <si>
    <t>Капітальний ремонт дитячого майданчика біля будинку №32 по вул.Лисенка</t>
  </si>
  <si>
    <t>Капітальний ремонт мереж вуличного освітлення  с. Іванівці</t>
  </si>
  <si>
    <t>2019-2021</t>
  </si>
  <si>
    <t>Капітальний ремонт вуличного освітлення с. Воскресинці</t>
  </si>
  <si>
    <t>Капітальний ремонт дорожнього і тротуарного покриття вул. Лисенка (заїзд до ЗОШ №2 та ДНЗ №11) в м.Коломиї</t>
  </si>
  <si>
    <t>Капітальний ремонт дорожнього покриття вул.Вітовського в м.Коломиї</t>
  </si>
  <si>
    <t>Капітальний ремонт вул.Трильовського в м.Коломиї</t>
  </si>
  <si>
    <t>Капітальний ремонт дорожнього покриття біля будинку №14 по вул.Леонтовича в м.Коломиї</t>
  </si>
  <si>
    <t>Капітальний ремонт дорожнього покриття біля будинку №20 по вул.Леонтовича в м.Коломиї</t>
  </si>
  <si>
    <t>Капітальний ремонт вул.Трильовського від буд.№54 до автодорожнього моста в м.Коломиї</t>
  </si>
  <si>
    <t>Капітальний ремонт дорожнього покриття вул.Трильовського від  автодорожнього моста до вул. Довбуша в м.Коломиї</t>
  </si>
  <si>
    <t>Капітальний ремонт тротуарів біля будинків №20-30 по вул.Богуна в м.Коломиї</t>
  </si>
  <si>
    <t>Капітальний ремонт тротуарів по вул.Пекарській в м.Коломиї</t>
  </si>
  <si>
    <t>Капітальний ремонт тротуарів по вул. Лисенка</t>
  </si>
  <si>
    <t>Капітальний ремонт тротуарів біля будинку № 45 по вул. Валова в м.Коломиї</t>
  </si>
  <si>
    <t>Капітальний ремонт тротуарів біля будинку № 42 по вул. Чайковського в м. Коломиї</t>
  </si>
  <si>
    <t>Капітальний ремонт тротуарів біля будинку № 44 по вул. Чайковського в м. Коломиї</t>
  </si>
  <si>
    <t>Капітальний ремонт тротуарів біля будинку № 21 по вул. Коновальця в м. Коломиї</t>
  </si>
  <si>
    <t>Капітальний ремонт тротуару по вул.Богуна, 32 в м. Коломия</t>
  </si>
  <si>
    <t>Капітальний ремонт тротуарів по вул. Заньковецької в м.Коломиї</t>
  </si>
  <si>
    <t>Капітальний ремонт тротуарів по вул.Стефаника в м.Коломиї</t>
  </si>
  <si>
    <t>Капітальний ремонт тротуарів біля будинку № 16 по вул.В.Стефаника  в м.Коломиї</t>
  </si>
  <si>
    <t>Капітальний ремонт тротуарів по вул.Довбуша в м.Коломиї</t>
  </si>
  <si>
    <t>Капітальний ремонт тротуарів по вул. Павлика в м. Коломиї</t>
  </si>
  <si>
    <t>Капітальний ремонт тротуарів по вул. Центральна с. Іванівці</t>
  </si>
  <si>
    <t>Капітальний ремонт тротуарів біля будинків №24,26 по вул.Леонтовича в м.Коломиї</t>
  </si>
  <si>
    <t>Капітальний ремонт тротуарів біля будинків №34,36 по вул. Чайковського в м.Коломиї</t>
  </si>
  <si>
    <t>Капітальний ремонт тротуарів біля будинку №18 по вул. Леонтовича в м.Коломиї</t>
  </si>
  <si>
    <t>Капітальний ремонт тротуарів  по вул. Костомарова в м.Коломиї</t>
  </si>
  <si>
    <t>Капітальний ремонт міжквартальних проїздів по вул. Грушевського, 46 в м.Коломиї</t>
  </si>
  <si>
    <t>2020-2023</t>
  </si>
  <si>
    <t>Капітальний ремонт міжквартальних проїздів по вул. Бандери, 51а та вул.Палія, 20 в м.Коломиї</t>
  </si>
  <si>
    <t>2020-2022</t>
  </si>
  <si>
    <t>Капітальний ремонт міжквартальних проїздів по вул. Леонтовича, 18 в м.Коломиї</t>
  </si>
  <si>
    <t>Капітальний ремонт міжквартальних проїздів по вул. Хмельницького, 1, 1а в м.Коломиї</t>
  </si>
  <si>
    <t>Капітальний ремонт міжквартальних проїздів по вул. Леонтовича, 2, 4, 6 в м.Коломиї</t>
  </si>
  <si>
    <t>Капітальний ремонт міжквартальних проїздів по вул. Леонтовича, 20, 24, 26 в м.Коломиї</t>
  </si>
  <si>
    <t>Капітальний ремонт міжквартальних проїздів по вул. Коновальця, 19 в м.Коломиї</t>
  </si>
  <si>
    <t>Капітальний ремонт міжквартальних проїздів по вул.Валовій, 45 в м.Коломиї</t>
  </si>
  <si>
    <t>Капітальний ремонт міжквартальних проїздів по вул.Чайковського, 38, 46, 48 в м.Коломиї</t>
  </si>
  <si>
    <t>Капітальний ремонт міжквартальних проїздів по вул.Чайковського, 34, 36, 44 в м.Коломиї</t>
  </si>
  <si>
    <t>Капітальний ремонт міжквартальних проїздів по вул.Пекарська, 8 в м.Коломиї</t>
  </si>
  <si>
    <t>Капітальний ремонт міжквартальних проїздів по вул.Петлюри, 74 в м.Коломиї</t>
  </si>
  <si>
    <t>Капітальний ремонт міжквартальних проїздів по вул.Хмельницького, 3 в м.Коломиї</t>
  </si>
  <si>
    <t>Капітальний ремонт міжквартальних проїздів по вул.Лисенка, 10 в м.Коломиї</t>
  </si>
  <si>
    <t>Капітальний ремонт міжквартальних проїздів по вул.Петлюри, 38 в м.Коломиї</t>
  </si>
  <si>
    <t>Капітальний ремонт міжквартальних проїздів по вул.Петлюри, 42 в м.Коломиї</t>
  </si>
  <si>
    <t>Капітальний ремонт міжквартальних проїздів по бул.Лесі Українки, 12 в м.Коломиї</t>
  </si>
  <si>
    <t>Капітальний ремонт міжквартальних проїздів по вул.Січових Стрільців, 12 в м.Коломиї</t>
  </si>
  <si>
    <t>Капітальний ремонт міжквартальних проїздів по вул.Січових Стрільців, 23, 25 та вул.Лисенка, 1 в м.Коломиї</t>
  </si>
  <si>
    <t>Капітальний ремонт міжквартальних проїздів по вул.Сахарова в м.Коломиї</t>
  </si>
  <si>
    <t>Капітальний ремонт міжквартальних проїздів по вул.Леонтовича в м.Коломиї</t>
  </si>
  <si>
    <t>Капітальний ремонт міжквартальних проїздів по пл.Привокзальній, 5, 6 в м.Коломиї</t>
  </si>
  <si>
    <t xml:space="preserve">Капітальний ремонт дорожнього покриття міжквартальних проїздів по пл.Привокзальній, 12 в м.Коломиї </t>
  </si>
  <si>
    <t>Капітальний ремонт тротуарів і міжквартальних проїздів по вул.Богуна в м.Коломиї</t>
  </si>
  <si>
    <t>Капітальний ремонт міжквартальних проїздів біля будинку №22 по вул.Леонтовича в м.Коломиї</t>
  </si>
  <si>
    <t>Капітальний ремонт міжквартальних проїздів по вул.Чайковського,40 в м.Коломиї</t>
  </si>
  <si>
    <t>Капітальний ремонт міжквартальних проїздів по вул.Чайковського,42 в м.Коломиї</t>
  </si>
  <si>
    <t>Капітальний ремонт  міжквартальних проїздів біля будинків №54,56 по вул.Чайковського в м.Коломиї</t>
  </si>
  <si>
    <t>Капітальний ремонт  міжквартальних проїздів по  вул.Богуна,26,28,30,32 в м.Коломиї</t>
  </si>
  <si>
    <t>Капітальний ремонт міжквартальних проїздів по пл.Привокзальній,3 в м.Коломиї</t>
  </si>
  <si>
    <t>Капітальний ремонт міжквартальних проїздів по пл.Привокзальній,4 в м.Коломиї</t>
  </si>
  <si>
    <t>Капітальний ремонт міжквартальних проїздів по вул.Мазепи,236, 250, 268, 274 в м.Коломиї</t>
  </si>
  <si>
    <t>Капітальний ремонт каналізаційної мережі по вул.Богуна, 40 в м.Коломиї</t>
  </si>
  <si>
    <t>Капітальний ремонт дитячого майданчика по вул.Квітковій в м.Коломиї</t>
  </si>
  <si>
    <t>Капітальний ремонт спортивного майданчика по вул.Достоєвського в м.Коломиї</t>
  </si>
  <si>
    <t>Капітальний ремонт спортивного майданчика по вул.Коновальця, 19 в м.Коломиї</t>
  </si>
  <si>
    <t>Капітальний ремонт приміщення пральні Коломийського закладу дошкільної освіти (ясла-садок) № 11 «Сонечко» по вул.М.Лисенка, 18а в м.Коломиї</t>
  </si>
  <si>
    <t>Капітальний ремонт будівлі по вул. Чорновола, 55</t>
  </si>
  <si>
    <t>Капітальний ремонт спортивного майданчика по вул.Лисенка, 32 в м.Коломиї</t>
  </si>
  <si>
    <t>Капітальний ремонт спортивного майданчика по вул.Січинського</t>
  </si>
  <si>
    <t>Капітальний ремонт спортивного майданчика біля будинку № 248 по вул Мазепи в м.Коломия</t>
  </si>
  <si>
    <t>Капітальний ремонт дитячого майданчика по вул.Козацькій в м.Коломиї</t>
  </si>
  <si>
    <t>Капітальний ремонт дитячого майданчика по вул.Опришківській в м.Коломиї</t>
  </si>
  <si>
    <t>Капітальний ремонт дитячого майданчика по вул.Крипякевича</t>
  </si>
  <si>
    <t>Обсяг видатків на капітальний ремонт дитячого майданчика біля будинку №4 по вул.Костомарова</t>
  </si>
  <si>
    <t>Капітальний ремонт автобусної зупинки по вул.Довбуша (садове товариство "Карпатські зорі") в м.Коломиї</t>
  </si>
  <si>
    <t>Капітальний ремонт автобусної зупинки по вул.Довбуша, 315 в м.Коломиї</t>
  </si>
  <si>
    <t>Капітальний ремонт автобусної зупинки по вул.Франка, 40 в м.Коломиї</t>
  </si>
  <si>
    <t>Капітальний ремонт вуличного освітлення по вул.Пекарській в м.Коломиї</t>
  </si>
  <si>
    <t>Капітальний ремонт вуличного освітлення в с. Товмачик</t>
  </si>
  <si>
    <t>Капітальний ремонт вуличного освітлення в с. Шепарівці</t>
  </si>
  <si>
    <t>Капітальний ремонт мереж вуличного освітлення в с. Саджавка</t>
  </si>
  <si>
    <t>Капітальний ремонт площадки в парку ім.Кирила Трильовського в м.Коломиї</t>
  </si>
  <si>
    <t>Капіттальний ремонт скверу з встановленням дитячого майданчика по вул.Центральній в с.Іванівці</t>
  </si>
  <si>
    <t>2017-2024</t>
  </si>
  <si>
    <t>Придбання обладнання (програмного забезпечення)</t>
  </si>
  <si>
    <t>Капітальний ремонт приміщення по пл.Відродження, 1</t>
  </si>
  <si>
    <t>2017-2021</t>
  </si>
  <si>
    <t>Програма розроблення та оновлення містобудівної документації Коломийської територіальної громади на 2022-2026 роки</t>
  </si>
  <si>
    <t>2020</t>
  </si>
  <si>
    <t>2021</t>
  </si>
  <si>
    <t xml:space="preserve">Капітальний ремонт даху Коломийської гімназії № 7 по вул. Карпатська, 74 в м. Коломиї </t>
  </si>
  <si>
    <t xml:space="preserve">Капітальний ремонт фасаду Коломийського ліцею № 1 імені Василя Стефаника по вул. Адама Міцкевича, 3 в м. Коломиї </t>
  </si>
  <si>
    <t xml:space="preserve">Капітальний ремонт покрівлі Коломийського ліцею № 5 імені Т. Г. Шевченка по пр. Михайла Грушевського, 64 в м. Коломиї </t>
  </si>
  <si>
    <t xml:space="preserve">Капітальний ремонт фасаду Коломийського ліцею № 5 імені Т. Г. Шевченка по пр. Михайла Грушевського, 64 в м. Коломиї </t>
  </si>
  <si>
    <t xml:space="preserve">Капітальний ремонт фасаду Коломийського ліцею № 8 по вул. Євгена Коновальця, 11 в м. Коломиї </t>
  </si>
  <si>
    <t xml:space="preserve">Капітальний ремонт покрівлі Коломийського ліцею імені Михайла Грушевського по вул. Івана Франка, 19 в м. Коломиї </t>
  </si>
  <si>
    <t>Придбання обладнання ( ліфт для осіб з інвалідністю)</t>
  </si>
  <si>
    <t>Капітальний ремонт приміщення по вул. Я. Пстрака, 2в</t>
  </si>
  <si>
    <t>Капітальний ремонт приміщень по вул. Я. Пстрака, 2в та М. Драгоманова, 3в</t>
  </si>
  <si>
    <t>Капітальний ремонт  дорожнього покриття вул. Тичини в м.Коломиї</t>
  </si>
  <si>
    <t>Капітальний ремонт  дорожнього покрття вул. Довженка в м.Коломиї</t>
  </si>
  <si>
    <t>Капітальний ремонт  дорожнього покрття  вул. Глінки в м.Коломиї</t>
  </si>
  <si>
    <t>Капітальний ремонт  дорожнього покрття  вул. Ранкової в м.Коломиї</t>
  </si>
  <si>
    <t>Капітальний ремонт дорожнього покриття вул.Роксолани в м.Коломиї</t>
  </si>
  <si>
    <t>Капітальний ремонт дорожнього і тротуарного покриття  вул.Винниченка в м.Коломия</t>
  </si>
  <si>
    <t>Капітальний ремонт дорожнього покриття  вул.Довбуша в м.Коломия</t>
  </si>
  <si>
    <t xml:space="preserve">Капітальний ремонт дорожнього покриття вул. Шкрумеляка </t>
  </si>
  <si>
    <t>Капітальний ремонт дорожнього і тротуарного покриття вул. Староміської в м. Коломия</t>
  </si>
  <si>
    <t>Капітальний ремонт дорожнього покриття вул. Старицького в м. Коломиї</t>
  </si>
  <si>
    <t>Капітальний ремонт дорожнього і тротуарного покриття вул. Гетьманська в м. Коломия</t>
  </si>
  <si>
    <t>Капітальний ремонт дорожнього покриття по вул. Лесі Українки в селі Королівка</t>
  </si>
  <si>
    <t>Капітальний ремонт дорожнього покриття по вул. Січових Стрільців в селі Раківчик</t>
  </si>
  <si>
    <t>Капітальний ремонт дорожнього покриття вулиці Шопена в м.Коломиї</t>
  </si>
  <si>
    <t xml:space="preserve"> Капітальний ремонт вул.Кобилянської в м.Коломиї</t>
  </si>
  <si>
    <t>Капітальний ремонт дорожнього і тротуарного покриття вул.Чайковського в м.Коломиї</t>
  </si>
  <si>
    <t>Капітальний ремонт дорожнього і тротуарного покриття вул.Хмельницького(від вул.Петлюри до вул.Моцарта) в м.Коломиї</t>
  </si>
  <si>
    <t>Капітальний ремонт дорожнього і тротуарного покриття вул.Шипайла в м.Коломиї</t>
  </si>
  <si>
    <t>Капітальний ремонт тротуарів біля будинку №8 по вул.Пекарській в м.Коломиї</t>
  </si>
  <si>
    <t>Капітальний ремонт тротуарів по вул. Довбуша від вул. Коцюбинського до вул. Опришківської в м. Коломиї</t>
  </si>
  <si>
    <t>Капітальний ремонт тротуарів  по вул. Миколайчука в м.Коломиї</t>
  </si>
  <si>
    <t>Капітальний ремонт тротуарів по вул. Костомарова,2 в м.Коломиї</t>
  </si>
  <si>
    <t>Капітальний ремонт тротуарів по вул. Чехова в м.Коломиї</t>
  </si>
  <si>
    <t>Капітальний ремонт тротуарів по вул. Франка в м. Коломиї</t>
  </si>
  <si>
    <t>Капітальний ремонт тротуарів по вул. Йосипа Сліпого в м. Коломиї</t>
  </si>
  <si>
    <t>Капітальний ремонт міжквартальних проїздів по вул.Лисенка,14 в м. Коломиї</t>
  </si>
  <si>
    <t>Капітальний ремонт міжквартальних проїздів по вул.Січових Стрільців,33 в м. Коломиї</t>
  </si>
  <si>
    <t xml:space="preserve">Капітальний ремонт тротуарів по вул. Маковея в м.Коломиї </t>
  </si>
  <si>
    <t>Капітальний ремонт тротуарів по вул.Опришківській в м.Коломиї</t>
  </si>
  <si>
    <t>Капітальний ремонт тротуарів на перехресті вулиць Чехова-Петлюри в м.Коломиї</t>
  </si>
  <si>
    <t>Капітальний ремонт міжквартальних проїздів по вул. Стефаника, 1 в м. Коломиї</t>
  </si>
  <si>
    <t>Капітальний ремонт міжквартальних проїздів по вул. Стефаника, 5,2а в м. Коломиї</t>
  </si>
  <si>
    <t>Капітальний ремонт  міжквартальних проїздів по вул.Богуна 36 в м.Коломиї</t>
  </si>
  <si>
    <t>Капітальний ремонт  міжквартальних проїздів по  вул.Січових Стрільців,39 в м.Коломиї</t>
  </si>
  <si>
    <t>Капітальний ремонт міжквартальних проїздів по вул.Винниченка,1 в м.Коломиї</t>
  </si>
  <si>
    <t>Капітальний ремонт міжквартальних проїздів по пл.Привокзальній, 11 в м.Коломиї</t>
  </si>
  <si>
    <t>Капітальний ремонт заїзду з вул.Січових Стрільців до будинку №25 в м.Коломиї</t>
  </si>
  <si>
    <t>Капітальний ремонт каналізаційної мережі по вул. Бандери, 7 в м. Коломиї</t>
  </si>
  <si>
    <t>Капітальний ремонт каналізаційної мережі по вул. Косачівській в м. Коломиї</t>
  </si>
  <si>
    <t>Капітальний ремонт дощової каналізації по вул. Січових Стрільців 23,25 в м. Коломиї</t>
  </si>
  <si>
    <t>Капітальний ремонт каналізаційної мережі по вулиці Шкрумеляка 22,24 в м.Коломиї</t>
  </si>
  <si>
    <t>Капітальний ремонт дощової каналізації по вул. Дмитра Яворницького, 26 в м.Коломиї</t>
  </si>
  <si>
    <t>Капітальний ремонт спортивного майданчика по вул.Січових Стрільців, 33 в м.Коломиї</t>
  </si>
  <si>
    <t>Капітальний ремонт спортивного майданчика по вул.Січових Стрільців, 50а в м.Коломиї</t>
  </si>
  <si>
    <t>Капітальний ремонт спортивного майданчика по вул.Тютюнника, 2 в м.Коломиї</t>
  </si>
  <si>
    <t>Капітальний ремонт спортивного майданчика по вул.Пекарській, 8 в м.Коломиї</t>
  </si>
  <si>
    <t>Капітальний ремонт спортивного майданчика по вул.Шкрумеляка, 30 в м.Коломиї</t>
  </si>
  <si>
    <t>Капітальний ремонт спортивного майданчика по вул.Січових Стрільців, 23-25 в м.Коломиї</t>
  </si>
  <si>
    <t>Капітальний ремонт спортивного майданчика по вул.Бандери, 5, 7,11 в м.Коломиї</t>
  </si>
  <si>
    <t>до рішення виконавчого</t>
  </si>
  <si>
    <t>комітету міської ради</t>
  </si>
  <si>
    <t>Капітальний ремонт спортивного майданчика по вул.Мазепи, 262 в м.Коломиї</t>
  </si>
  <si>
    <t>Капітальний ремонт автобусної зупинки по вул.Карпатській, 127 в м.Коломиї</t>
  </si>
  <si>
    <t>Капітальний ремонт автобусної зупинки по вул.Петлюри, 57 в м.Коломиї</t>
  </si>
  <si>
    <t>Капітальний ремонт автобусної зупинки по вул.Мазепи , 263 в м.Коломиї</t>
  </si>
  <si>
    <t>Капітальний ремонт вуличного освітлення по вулицях Білейчука, Зелена, Лугова, Шевченка, Гринюка в селі Воскресинці</t>
  </si>
  <si>
    <t>Капітальний ремонт вуличного освітлення по вул. І.Ткачука, Сарма-Соколовського в м.Коломиї</t>
  </si>
  <si>
    <t xml:space="preserve">Капітальний ремонт вуличного освітлення по вулицях Шевченка, Франка, Гагаріна, Рубанська, Карпатська в селі Іванівці </t>
  </si>
  <si>
    <t>Капітальний ремонт вуличного освітлення в с. Шепарівці ( вул.Гаєва, Зарічна, Миру, Мартовича, Грушевського, Довбуша, Прикарпатська, Шевченка)</t>
  </si>
  <si>
    <t>Капітальний ремонт мереж зовнішнього освітлення спортивного майданчика в с. Саджавка</t>
  </si>
  <si>
    <t>Капітальний ремонт дорожнього покриття вул.Лесі Українки в с.Королівці</t>
  </si>
  <si>
    <t>2023-2024</t>
  </si>
  <si>
    <t>Капітальний ремонт вул.Січових Стрівльців в с.Воскресинці</t>
  </si>
  <si>
    <t>Капітальний ремонт вул.Лугової в с.Корнич</t>
  </si>
  <si>
    <t>Капітальний ремонт вул.Шкільної в с.Товмачик</t>
  </si>
  <si>
    <t>Капітальний ремонт вулюКопаної  в с. Іванівці</t>
  </si>
  <si>
    <t>Капітальний ремонт вул.Яворницького в с.Саджавка</t>
  </si>
  <si>
    <t>Капітальний ремонт вул.Шевченка в м.Коломиї</t>
  </si>
  <si>
    <t>Капітальний ремонт вул.Валової в м.Коломиї</t>
  </si>
  <si>
    <t>Капітальний ремонт вул.Стефаника в м.Коломиї</t>
  </si>
  <si>
    <t>Капітальний ремонтдорожнього покриття вул.Шипайла в м.Коломиї</t>
  </si>
  <si>
    <t>Капітальний ремонт вул.Чайковського в м.Коломиї</t>
  </si>
  <si>
    <t>Капітальний ремонт дорожнього покриття вул. Франка (заїзд до ДНЗ №3)</t>
  </si>
  <si>
    <t>Капітальний ремонт вул. Лисенка (заїзд до ДНЗ №14)</t>
  </si>
  <si>
    <t>Капітальний ремонт дорожнього покриття вул. Грушевського (заїзд до ДНЗ №16)</t>
  </si>
  <si>
    <t>Капітальний ремонт вул. Миколайчука (заїзд до ДНЗ №2)</t>
  </si>
  <si>
    <t>Капітальний ремонт вул. Новодворського</t>
  </si>
  <si>
    <t>Капітальний ремонт тротуарів по вулиці Родини Кузьми</t>
  </si>
  <si>
    <t>Капітальний ремонт тротуарів по вул. Чехова</t>
  </si>
  <si>
    <t>Капптіальний ремонт пл. Шевченка</t>
  </si>
  <si>
    <t>Капітальний реомнт пл. Відродження</t>
  </si>
  <si>
    <t>Капітальний ремонт пл.750-річчя Коломиї</t>
  </si>
  <si>
    <t xml:space="preserve">Капітальний ремонт міжквартальних проїздів по вул. Богуна, 34, 36 та вул.Стефаника, 16 в м.Коломиї </t>
  </si>
  <si>
    <t>Капітальний ремонт дорожнього покриття міжквартальних проїздів по вулицях Чайковського-Сахарова-Палія</t>
  </si>
  <si>
    <t>Капітальний ремонт тротуарів по вул.Мазепи</t>
  </si>
  <si>
    <t>Реконструкція площі Скорботи</t>
  </si>
  <si>
    <t>Реконструкція перехрестя вулиць Бандери - Мазепи</t>
  </si>
  <si>
    <t>Реконструкція перехрестя вулиць Бандери – Січових Стрільців</t>
  </si>
  <si>
    <t>Нове будівництво притулку для безпритульних тварин</t>
  </si>
  <si>
    <t>2018-2024</t>
  </si>
  <si>
    <t>Будівництво дитячого майданчика по вул. Володимира Чепіля в м. Коломия</t>
  </si>
  <si>
    <t>Нове будівництво каналізаційної мережі по вул. Николишина в м. Коломиї</t>
  </si>
  <si>
    <t>Нове будівництво каналізаційної мережі по вул. Войнаровського в м. Коломиї</t>
  </si>
  <si>
    <t>Код Типової програмної класифікації видатків та кредитування місцевого бюджету</t>
  </si>
  <si>
    <t>Найменування головного розпорядника коштів місцевого бюджету 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</si>
  <si>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інвестиційного проекту</t>
  </si>
  <si>
    <t>Загальна вартість проекту</t>
  </si>
  <si>
    <t>Додаток 10</t>
  </si>
  <si>
    <t>Обсяги капітальних вкладень місцевого бюджету у розрізі інвестиційних проектів</t>
  </si>
  <si>
    <t>(код бюджету)</t>
  </si>
  <si>
    <t>(грн)</t>
  </si>
  <si>
    <t>Міська рада</t>
  </si>
  <si>
    <t>Придбання обладнання (відеокамери)</t>
  </si>
  <si>
    <t>Проект "Навчання з моїм сусідом - Покращення якості освіти через транскордонне співробітництво " в рамках Спільно оператиної програми Румунія - Україна 2014-2020 роки</t>
  </si>
  <si>
    <t>Придбання обладнання (комп'ютерного, деревообробного, мультимедійного)</t>
  </si>
  <si>
    <t>Придбання медичного обладнання (апарат ШВЛ, кисневі концентратори та ін.медобладнання)</t>
  </si>
  <si>
    <t>Придбання обладнання (медичне) для КНП "Коломийська інфекційна лікарня Коломийської міської ради"</t>
  </si>
  <si>
    <t>Капітальні видатки на придбання будівлі, приміщення</t>
  </si>
  <si>
    <t>Капітальний ремонт І поверху приміщення по пл. Привокзальній 2а/1  в м. Коломиї</t>
  </si>
  <si>
    <t>Капітальний ремонт будівлі по пл. Привокзальна, 13 в м. Коломиї Івано-Франківської області</t>
  </si>
  <si>
    <t>Капiтальний ремонт нежитлового примiщеннi по вул. Валовiй, l0 в м.Коломиї</t>
  </si>
  <si>
    <t>Всього</t>
  </si>
  <si>
    <t>3132,3122,3142</t>
  </si>
  <si>
    <t>Капітальний ремонт нежитлових приміщень по вул.Українській,68 в селі Саджавка Надвірнянського району, Івано-Франківської області</t>
  </si>
  <si>
    <t xml:space="preserve">Капітальний ремонт адміністративної будівлі по вул. Українській,68 в селі Саджавка Надвірнянського району, Івано-Франківської області </t>
  </si>
  <si>
    <t>Капітальний ремонт в приміщенні адмінбудинку по вул. Шевченка, 40а в селі Воскресинці Коломийського району, Івано-Франківської області</t>
  </si>
  <si>
    <t>Капітальний ремонт будівлі по вул. Шевченка в с. Воскресинці Коломийського району Івано-Франківської області</t>
  </si>
  <si>
    <t>Капітальний ремонт спортивного майданчика в с. Саджавка Надвірнянського району Івано-Франківської області</t>
  </si>
  <si>
    <t>Капітальний ремонт в приміщенні адмінбудинку по вул. Шкільній, 34а в селі Товмачик Коломийського району, Івано-Франківської області</t>
  </si>
  <si>
    <t>0110150</t>
  </si>
  <si>
    <t>0150</t>
  </si>
  <si>
    <t>Організаційне, інформаційно-аналітичне та матеріально-технічне забезпечення діяльності міської ради</t>
  </si>
  <si>
    <t>0110180</t>
  </si>
  <si>
    <t>0180</t>
  </si>
  <si>
    <t>Інша діяльність у сфері державного управління</t>
  </si>
  <si>
    <t>Капітальні видатки на програму "Громадський бюджет міста Коломиї на 2017-2021 роки":</t>
  </si>
  <si>
    <t>Придбання комплекту спортивного обладнання скейт-парку</t>
  </si>
  <si>
    <t>Капітальний ремонт міжквартальних проїздів по вулицях Яворницького – Крип’якевича в місті Коломиї, Івано-Франківської області</t>
  </si>
  <si>
    <t>Капітальний ремонт прибудинкової території  по вулиці Палія, 28 в місті Коломиї, Івано-Франківської області</t>
  </si>
  <si>
    <t>Придбання контейнерів для твердих побутових відходів</t>
  </si>
  <si>
    <t>Капітальний ремонт дитячого та спортивного майданчиків по вул. Українська, 68 в селі Саджавка, Надвірнянського району, Івано-Франківської області</t>
  </si>
  <si>
    <t>0112020</t>
  </si>
  <si>
    <t>Спеціалізована стаціонарна медична допомога населенню</t>
  </si>
  <si>
    <t>0116011</t>
  </si>
  <si>
    <t>6011</t>
  </si>
  <si>
    <t>Експлуатація та технічне обслуговування житлового фонду</t>
  </si>
  <si>
    <t>Капітальні видатки на " Програму співфінансування проведення капітальних ремонтів в житлових будинках ОСББ м. Коломиї на 2018-2022 роки"</t>
  </si>
  <si>
    <t>Капітальний ремонт пасажирських ліфтів вул. Леонтовича, 22 п.1, п.2, п.3, м. Коломия</t>
  </si>
  <si>
    <t>0118311</t>
  </si>
  <si>
    <t>Капітальний ремонт пасажирських ліфтів по вул. Леонтовича, 20 п.1-п.3 м. Коломия</t>
  </si>
  <si>
    <t>Капітальний ремонт внутрішньобудинкових електричних мереж в житловому багатоквартирному будинку по вул.С.Стрільців 34 в м.Коломия Івано-Франківської обл.</t>
  </si>
  <si>
    <t>Капітальний ремонт покрівлі даху житлового будинку по вул.Костомарова,1 в м. Коломиї</t>
  </si>
  <si>
    <t>Капітальний ремонт пасажирських ліфтів  вул. Яворницького 20 п.1, п.2, п.3, м.Коломия</t>
  </si>
  <si>
    <t>Капітальний ремонт даху багатоквартирного житлового будинку по вул. І.Мазепи, 270, секція "В", в м.Коломия Івано-Франківської області</t>
  </si>
  <si>
    <t>Капітальний ремонт сходових кліток багатоквартирного житлового будинку по вул. Богуна, 32 в м. Коломия Івано-Франківської області</t>
  </si>
  <si>
    <t>Капітальний ремонт зовнішньої каналізаційної мережі по вул. Чайковського 40 в м.Коломия Івано-Франківської обл.</t>
  </si>
  <si>
    <t>Капітальний ремонт дахового покриття багатоквартирного будинку по вул. Шухевича 3 в м. Коломия Івано-Франківської обл.</t>
  </si>
  <si>
    <t>Капітальний ремонт сходових кліток багатоквартирного житлового будинку по вул. Богуна, 36 в м. Коломия Івано-Франківської області</t>
  </si>
  <si>
    <t>2018-2020</t>
  </si>
  <si>
    <t xml:space="preserve">Придбання обладнання (комп'ютерної техніки) </t>
  </si>
  <si>
    <t>Придбання обладнання (оргтехніки, комп'ютерної техніки)</t>
  </si>
  <si>
    <t>Придбання обладнання (сценічно-постановчих засобів - національних костюмів)</t>
  </si>
  <si>
    <t>Капітальний ремонт зовнішньої каналізації житлового будинку по вул. Богуна, 36 в м. Коломия Івано-Франківської області</t>
  </si>
  <si>
    <t>Капітальний ремонт покрівлі багатоповерхового будинку за адресою вул. М.Лисенка, №34 м. Коломия</t>
  </si>
  <si>
    <t xml:space="preserve">Капітальний ремонт внутрішніх електромереж житлового будинку по вул.Костомарова,2 в м.Коломия Івано - Франківської області </t>
  </si>
  <si>
    <t>Капітальний ремонт покрівлі багатоквартирного житлового будинку по пл. Привокзальна, 12 в м. Коломия Івано-Франківської області</t>
  </si>
  <si>
    <t>Капітальний ремонт даху багатоквартирного житлового будинку по вул. І. Мазепи, 274 в м. Коломия Івано-Франківаської області</t>
  </si>
  <si>
    <t xml:space="preserve">від 17.08.2021 № 225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</si>
</sst>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24"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>
      <alignment vertical="top"/>
    </xf>
    <xf numFmtId="0" fontId="2" fillId="0" borderId="0"/>
    <xf numFmtId="0" fontId="1" fillId="0" borderId="0"/>
  </cellStyleXfs>
  <cellXfs count="116">
    <xf numFmtId="0" fontId="0" fillId="0" borderId="0" xfId="0"/>
    <xf numFmtId="0" fontId="0" fillId="2" borderId="0" xfId="0" applyFill="1"/>
    <xf numFmtId="0" fontId="3" fillId="0" borderId="0" xfId="0" applyFont="1"/>
    <xf numFmtId="0" fontId="5" fillId="2" borderId="0" xfId="0" applyFont="1" applyFill="1" applyBorder="1" applyAlignment="1">
      <alignment vertical="center" wrapText="1"/>
    </xf>
    <xf numFmtId="0" fontId="0" fillId="0" borderId="0" xfId="0" applyBorder="1"/>
    <xf numFmtId="0" fontId="5" fillId="3" borderId="0" xfId="0" applyFont="1" applyFill="1" applyBorder="1" applyAlignment="1">
      <alignment vertical="center" wrapText="1"/>
    </xf>
    <xf numFmtId="0" fontId="10" fillId="0" borderId="0" xfId="0" applyFont="1" applyBorder="1" applyAlignment="1">
      <alignment wrapText="1"/>
    </xf>
    <xf numFmtId="0" fontId="10" fillId="3" borderId="0" xfId="0" applyFont="1" applyFill="1" applyBorder="1" applyAlignment="1">
      <alignment wrapText="1"/>
    </xf>
    <xf numFmtId="0" fontId="10" fillId="0" borderId="0" xfId="0" applyFont="1" applyBorder="1" applyAlignment="1">
      <alignment horizontal="left" vertical="center" wrapText="1"/>
    </xf>
    <xf numFmtId="0" fontId="10" fillId="3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3" fontId="3" fillId="0" borderId="1" xfId="0" applyNumberFormat="1" applyFont="1" applyBorder="1"/>
    <xf numFmtId="3" fontId="3" fillId="0" borderId="0" xfId="0" applyNumberFormat="1" applyFont="1"/>
    <xf numFmtId="0" fontId="3" fillId="0" borderId="1" xfId="0" applyFont="1" applyBorder="1" applyAlignment="1">
      <alignment horizontal="center" wrapText="1"/>
    </xf>
    <xf numFmtId="3" fontId="3" fillId="0" borderId="0" xfId="0" applyNumberFormat="1" applyFont="1" applyBorder="1"/>
    <xf numFmtId="4" fontId="16" fillId="0" borderId="0" xfId="0" applyNumberFormat="1" applyFont="1" applyBorder="1"/>
    <xf numFmtId="4" fontId="3" fillId="0" borderId="0" xfId="0" applyNumberFormat="1" applyFont="1" applyBorder="1"/>
    <xf numFmtId="4" fontId="0" fillId="0" borderId="0" xfId="0" applyNumberFormat="1" applyBorder="1"/>
    <xf numFmtId="3" fontId="0" fillId="0" borderId="0" xfId="0" applyNumberFormat="1" applyBorder="1"/>
    <xf numFmtId="3" fontId="23" fillId="0" borderId="0" xfId="0" applyNumberFormat="1" applyFont="1" applyBorder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3" fontId="3" fillId="2" borderId="0" xfId="0" applyNumberFormat="1" applyFont="1" applyFill="1"/>
    <xf numFmtId="3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vertical="center" wrapText="1"/>
    </xf>
    <xf numFmtId="4" fontId="4" fillId="2" borderId="1" xfId="0" applyNumberFormat="1" applyFont="1" applyFill="1" applyBorder="1" applyAlignment="1">
      <alignment horizontal="left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4" fontId="17" fillId="2" borderId="1" xfId="0" applyNumberFormat="1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3" fontId="18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justify" vertical="center"/>
    </xf>
    <xf numFmtId="0" fontId="16" fillId="2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/>
    </xf>
    <xf numFmtId="3" fontId="16" fillId="2" borderId="1" xfId="0" applyNumberFormat="1" applyFont="1" applyFill="1" applyBorder="1" applyAlignment="1">
      <alignment horizontal="center" vertical="center"/>
    </xf>
    <xf numFmtId="3" fontId="16" fillId="2" borderId="1" xfId="1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vertical="center" wrapText="1"/>
    </xf>
    <xf numFmtId="3" fontId="18" fillId="2" borderId="1" xfId="1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vertical="center" wrapText="1" shrinkToFit="1"/>
    </xf>
    <xf numFmtId="3" fontId="11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justify" vertical="center" wrapText="1"/>
    </xf>
    <xf numFmtId="3" fontId="16" fillId="2" borderId="1" xfId="0" applyNumberFormat="1" applyFont="1" applyFill="1" applyBorder="1" applyAlignment="1">
      <alignment horizontal="center" vertical="center" wrapText="1"/>
    </xf>
    <xf numFmtId="4" fontId="17" fillId="2" borderId="1" xfId="0" applyNumberFormat="1" applyFont="1" applyFill="1" applyBorder="1" applyAlignment="1">
      <alignment horizontal="center" vertical="center" wrapText="1"/>
    </xf>
    <xf numFmtId="3" fontId="18" fillId="2" borderId="1" xfId="0" applyNumberFormat="1" applyFont="1" applyFill="1" applyBorder="1" applyAlignment="1">
      <alignment horizontal="center" vertical="center"/>
    </xf>
    <xf numFmtId="4" fontId="18" fillId="2" borderId="1" xfId="0" applyNumberFormat="1" applyFont="1" applyFill="1" applyBorder="1" applyAlignment="1">
      <alignment horizontal="left" vertical="center" wrapText="1"/>
    </xf>
    <xf numFmtId="3" fontId="16" fillId="2" borderId="1" xfId="0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 wrapText="1"/>
    </xf>
    <xf numFmtId="164" fontId="18" fillId="2" borderId="1" xfId="0" applyNumberFormat="1" applyFont="1" applyFill="1" applyBorder="1" applyAlignment="1">
      <alignment horizontal="left" vertical="center" wrapText="1"/>
    </xf>
    <xf numFmtId="1" fontId="18" fillId="2" borderId="1" xfId="0" applyNumberFormat="1" applyFont="1" applyFill="1" applyBorder="1" applyAlignment="1">
      <alignment horizontal="center" vertical="center"/>
    </xf>
    <xf numFmtId="164" fontId="16" fillId="2" borderId="1" xfId="0" applyNumberFormat="1" applyFont="1" applyFill="1" applyBorder="1" applyAlignment="1">
      <alignment horizontal="left" vertical="center" wrapText="1"/>
    </xf>
    <xf numFmtId="4" fontId="16" fillId="2" borderId="1" xfId="0" applyNumberFormat="1" applyFont="1" applyFill="1" applyBorder="1" applyAlignment="1">
      <alignment horizontal="left" vertical="center" wrapText="1"/>
    </xf>
    <xf numFmtId="1" fontId="17" fillId="2" borderId="1" xfId="0" applyNumberFormat="1" applyFont="1" applyFill="1" applyBorder="1" applyAlignment="1">
      <alignment horizontal="center" vertical="center" wrapText="1"/>
    </xf>
    <xf numFmtId="1" fontId="16" fillId="2" borderId="1" xfId="0" applyNumberFormat="1" applyFont="1" applyFill="1" applyBorder="1" applyAlignment="1">
      <alignment horizontal="center" vertical="center"/>
    </xf>
    <xf numFmtId="4" fontId="11" fillId="2" borderId="1" xfId="0" applyNumberFormat="1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/>
    </xf>
    <xf numFmtId="4" fontId="16" fillId="2" borderId="1" xfId="0" applyNumberFormat="1" applyFont="1" applyFill="1" applyBorder="1" applyAlignment="1">
      <alignment horizontal="center" vertical="center"/>
    </xf>
    <xf numFmtId="1" fontId="17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4" fontId="16" fillId="2" borderId="1" xfId="0" applyNumberFormat="1" applyFont="1" applyFill="1" applyBorder="1" applyAlignment="1">
      <alignment vertical="center"/>
    </xf>
    <xf numFmtId="49" fontId="17" fillId="2" borderId="1" xfId="0" applyNumberFormat="1" applyFont="1" applyFill="1" applyBorder="1" applyAlignment="1">
      <alignment horizontal="center" vertical="center"/>
    </xf>
    <xf numFmtId="165" fontId="16" fillId="2" borderId="1" xfId="1" applyNumberFormat="1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left" vertical="center" wrapText="1"/>
    </xf>
    <xf numFmtId="49" fontId="20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vertical="center"/>
    </xf>
    <xf numFmtId="165" fontId="16" fillId="2" borderId="3" xfId="1" applyNumberFormat="1" applyFont="1" applyFill="1" applyBorder="1" applyAlignment="1">
      <alignment horizontal="left" vertical="center"/>
    </xf>
    <xf numFmtId="0" fontId="16" fillId="2" borderId="3" xfId="0" applyFont="1" applyFill="1" applyBorder="1" applyAlignment="1">
      <alignment horizontal="center" vertical="center"/>
    </xf>
    <xf numFmtId="3" fontId="16" fillId="2" borderId="3" xfId="0" applyNumberFormat="1" applyFont="1" applyFill="1" applyBorder="1" applyAlignment="1">
      <alignment vertical="center"/>
    </xf>
    <xf numFmtId="3" fontId="16" fillId="2" borderId="3" xfId="0" applyNumberFormat="1" applyFont="1" applyFill="1" applyBorder="1" applyAlignment="1">
      <alignment horizontal="center" vertical="center" wrapText="1"/>
    </xf>
    <xf numFmtId="3" fontId="16" fillId="2" borderId="3" xfId="1" applyNumberFormat="1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vertical="center"/>
    </xf>
    <xf numFmtId="0" fontId="16" fillId="2" borderId="4" xfId="0" applyFont="1" applyFill="1" applyBorder="1" applyAlignment="1">
      <alignment vertical="center"/>
    </xf>
    <xf numFmtId="0" fontId="16" fillId="2" borderId="4" xfId="0" applyFont="1" applyFill="1" applyBorder="1" applyAlignment="1">
      <alignment horizontal="center" vertical="center"/>
    </xf>
    <xf numFmtId="3" fontId="18" fillId="2" borderId="4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3" fontId="22" fillId="2" borderId="1" xfId="0" applyNumberFormat="1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3" fontId="13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3" fontId="9" fillId="2" borderId="1" xfId="0" applyNumberFormat="1" applyFont="1" applyFill="1" applyBorder="1" applyAlignment="1">
      <alignment horizontal="center" vertical="center"/>
    </xf>
    <xf numFmtId="3" fontId="13" fillId="2" borderId="1" xfId="0" applyNumberFormat="1" applyFont="1" applyFill="1" applyBorder="1" applyAlignment="1">
      <alignment horizontal="center" vertical="center" shrinkToFit="1"/>
    </xf>
    <xf numFmtId="3" fontId="12" fillId="2" borderId="1" xfId="0" applyNumberFormat="1" applyFont="1" applyFill="1" applyBorder="1" applyAlignment="1">
      <alignment horizontal="center" vertical="center" wrapText="1"/>
    </xf>
    <xf numFmtId="49" fontId="18" fillId="2" borderId="1" xfId="0" applyNumberFormat="1" applyFont="1" applyFill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3" fontId="21" fillId="2" borderId="1" xfId="3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49" fontId="6" fillId="2" borderId="0" xfId="0" applyNumberFormat="1" applyFont="1" applyFill="1" applyAlignment="1">
      <alignment vertical="center"/>
    </xf>
    <xf numFmtId="0" fontId="6" fillId="2" borderId="0" xfId="0" applyFont="1" applyFill="1"/>
    <xf numFmtId="0" fontId="6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18" fillId="2" borderId="1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/>
    </xf>
    <xf numFmtId="3" fontId="18" fillId="2" borderId="4" xfId="0" applyNumberFormat="1" applyFont="1" applyFill="1" applyBorder="1" applyAlignment="1">
      <alignment horizontal="center" vertical="center" textRotation="90" wrapText="1"/>
    </xf>
    <xf numFmtId="3" fontId="18" fillId="2" borderId="3" xfId="0" applyNumberFormat="1" applyFont="1" applyFill="1" applyBorder="1" applyAlignment="1">
      <alignment horizontal="center" vertical="center" textRotation="90" wrapText="1"/>
    </xf>
    <xf numFmtId="0" fontId="18" fillId="2" borderId="4" xfId="0" applyFont="1" applyFill="1" applyBorder="1" applyAlignment="1">
      <alignment horizontal="center" vertical="center" textRotation="90" wrapText="1"/>
    </xf>
    <xf numFmtId="0" fontId="18" fillId="2" borderId="3" xfId="0" applyFont="1" applyFill="1" applyBorder="1" applyAlignment="1">
      <alignment horizontal="center" vertical="center" textRotation="90" wrapText="1"/>
    </xf>
    <xf numFmtId="3" fontId="18" fillId="2" borderId="1" xfId="0" applyNumberFormat="1" applyFont="1" applyFill="1" applyBorder="1" applyAlignment="1">
      <alignment horizontal="center" vertical="center" textRotation="90" wrapText="1"/>
    </xf>
    <xf numFmtId="0" fontId="0" fillId="2" borderId="3" xfId="0" applyFill="1" applyBorder="1" applyAlignment="1">
      <alignment horizontal="center" vertical="center" textRotation="90" wrapText="1"/>
    </xf>
  </cellXfs>
  <cellStyles count="4">
    <cellStyle name="Звичайний_Додаток _ 3 зм_ни 4575" xfId="1"/>
    <cellStyle name="Обычный" xfId="0" builtinId="0"/>
    <cellStyle name="Обычный 2" xfId="2"/>
    <cellStyle name="Обычный 2_Додаток 10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02"/>
  <sheetViews>
    <sheetView tabSelected="1" view="pageBreakPreview" topLeftCell="I1" zoomScale="125" zoomScaleNormal="100" zoomScaleSheetLayoutView="125" workbookViewId="0">
      <selection activeCell="J5" sqref="J5"/>
    </sheetView>
  </sheetViews>
  <sheetFormatPr defaultRowHeight="15.75"/>
  <cols>
    <col min="1" max="1" width="10.42578125" style="2" customWidth="1"/>
    <col min="2" max="2" width="9.140625" style="2"/>
    <col min="3" max="3" width="22" style="2" customWidth="1"/>
    <col min="4" max="4" width="42.28515625" style="2" customWidth="1"/>
    <col min="5" max="5" width="11.7109375" style="10" customWidth="1"/>
    <col min="6" max="6" width="15.85546875" style="14" customWidth="1"/>
    <col min="7" max="7" width="14.5703125" style="14" customWidth="1"/>
    <col min="8" max="8" width="14.7109375" style="14" customWidth="1"/>
    <col min="9" max="9" width="14.85546875" style="14" customWidth="1"/>
    <col min="10" max="10" width="15" style="14" customWidth="1"/>
    <col min="11" max="11" width="14.85546875" style="14" customWidth="1"/>
    <col min="12" max="12" width="11.85546875" style="2" bestFit="1" customWidth="1"/>
    <col min="15" max="15" width="9.85546875" customWidth="1"/>
    <col min="16" max="16" width="15.5703125" bestFit="1" customWidth="1"/>
    <col min="17" max="20" width="14.28515625" bestFit="1" customWidth="1"/>
    <col min="21" max="21" width="15.42578125" bestFit="1" customWidth="1"/>
    <col min="22" max="22" width="9.42578125" bestFit="1" customWidth="1"/>
  </cols>
  <sheetData>
    <row r="1" spans="1:12">
      <c r="A1" s="22"/>
      <c r="B1" s="22"/>
      <c r="C1" s="22"/>
      <c r="D1" s="22"/>
      <c r="E1" s="23"/>
      <c r="F1" s="24"/>
      <c r="G1" s="24"/>
      <c r="H1" s="24"/>
      <c r="I1" s="24"/>
      <c r="J1" s="24"/>
      <c r="K1" s="24"/>
      <c r="L1" s="22"/>
    </row>
    <row r="2" spans="1:12">
      <c r="A2" s="22"/>
      <c r="B2" s="22"/>
      <c r="C2" s="22"/>
      <c r="D2" s="22"/>
      <c r="E2" s="23"/>
      <c r="F2" s="24"/>
      <c r="G2" s="24"/>
      <c r="H2" s="24"/>
      <c r="I2" s="24"/>
      <c r="J2" s="25" t="s">
        <v>431</v>
      </c>
      <c r="K2" s="24"/>
      <c r="L2" s="22"/>
    </row>
    <row r="3" spans="1:12">
      <c r="A3" s="22"/>
      <c r="B3" s="22"/>
      <c r="C3" s="22"/>
      <c r="D3" s="22"/>
      <c r="E3" s="23"/>
      <c r="F3" s="24"/>
      <c r="G3" s="24"/>
      <c r="H3" s="24"/>
      <c r="I3" s="24"/>
      <c r="J3" s="25" t="s">
        <v>383</v>
      </c>
      <c r="K3" s="24"/>
      <c r="L3" s="22"/>
    </row>
    <row r="4" spans="1:12" ht="16.5" customHeight="1">
      <c r="A4" s="22"/>
      <c r="B4" s="22"/>
      <c r="C4" s="22"/>
      <c r="D4" s="22"/>
      <c r="E4" s="23"/>
      <c r="F4" s="24"/>
      <c r="G4" s="24"/>
      <c r="H4" s="24"/>
      <c r="I4" s="24"/>
      <c r="J4" s="106" t="s">
        <v>384</v>
      </c>
      <c r="K4" s="106"/>
      <c r="L4" s="106"/>
    </row>
    <row r="5" spans="1:12" ht="12.75" customHeight="1">
      <c r="A5" s="22"/>
      <c r="B5" s="22"/>
      <c r="C5" s="22"/>
      <c r="D5" s="22"/>
      <c r="E5" s="23"/>
      <c r="F5" s="24"/>
      <c r="G5" s="24"/>
      <c r="H5" s="24"/>
      <c r="I5" s="24"/>
      <c r="J5" s="25" t="s">
        <v>491</v>
      </c>
      <c r="K5" s="24"/>
      <c r="L5" s="22"/>
    </row>
    <row r="6" spans="1:12">
      <c r="A6" s="22"/>
      <c r="B6" s="22"/>
      <c r="C6" s="22"/>
      <c r="D6" s="22"/>
      <c r="E6" s="23"/>
      <c r="F6" s="24"/>
      <c r="G6" s="24"/>
      <c r="H6" s="24"/>
      <c r="I6" s="24"/>
      <c r="J6" s="24"/>
      <c r="K6" s="24"/>
      <c r="L6" s="22"/>
    </row>
    <row r="7" spans="1:12">
      <c r="A7" s="107" t="s">
        <v>432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</row>
    <row r="8" spans="1:12">
      <c r="A8" s="102"/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</row>
    <row r="9" spans="1:12">
      <c r="A9" s="103" t="s">
        <v>232</v>
      </c>
      <c r="B9" s="104"/>
      <c r="C9" s="22"/>
      <c r="D9" s="22"/>
      <c r="E9" s="23"/>
      <c r="F9" s="24"/>
      <c r="G9" s="24"/>
      <c r="H9" s="24"/>
      <c r="I9" s="24"/>
      <c r="J9" s="24"/>
      <c r="K9" s="24"/>
      <c r="L9" s="22"/>
    </row>
    <row r="10" spans="1:12">
      <c r="A10" s="105" t="s">
        <v>433</v>
      </c>
      <c r="B10" s="104"/>
      <c r="C10" s="22"/>
      <c r="D10" s="22"/>
      <c r="E10" s="23"/>
      <c r="F10" s="24"/>
      <c r="G10" s="24"/>
      <c r="H10" s="24"/>
      <c r="I10" s="24"/>
      <c r="J10" s="24"/>
      <c r="K10" s="24"/>
      <c r="L10" s="26" t="s">
        <v>434</v>
      </c>
    </row>
    <row r="11" spans="1:12">
      <c r="A11" s="105"/>
      <c r="B11" s="104"/>
      <c r="C11" s="22"/>
      <c r="D11" s="22"/>
      <c r="E11" s="23"/>
      <c r="F11" s="24"/>
      <c r="G11" s="24"/>
      <c r="H11" s="24"/>
      <c r="I11" s="24"/>
      <c r="J11" s="24"/>
      <c r="K11" s="24"/>
      <c r="L11" s="26"/>
    </row>
    <row r="12" spans="1:12" ht="191.25" customHeight="1">
      <c r="A12" s="112" t="s">
        <v>148</v>
      </c>
      <c r="B12" s="108" t="s">
        <v>427</v>
      </c>
      <c r="C12" s="108" t="s">
        <v>428</v>
      </c>
      <c r="D12" s="108" t="s">
        <v>429</v>
      </c>
      <c r="E12" s="112" t="s">
        <v>149</v>
      </c>
      <c r="F12" s="114" t="s">
        <v>430</v>
      </c>
      <c r="G12" s="110" t="s">
        <v>150</v>
      </c>
      <c r="H12" s="110" t="s">
        <v>151</v>
      </c>
      <c r="I12" s="110" t="s">
        <v>152</v>
      </c>
      <c r="J12" s="110" t="s">
        <v>153</v>
      </c>
      <c r="K12" s="110" t="s">
        <v>154</v>
      </c>
      <c r="L12" s="112" t="s">
        <v>155</v>
      </c>
    </row>
    <row r="13" spans="1:12" ht="92.25" customHeight="1">
      <c r="A13" s="115"/>
      <c r="B13" s="108"/>
      <c r="C13" s="108"/>
      <c r="D13" s="108"/>
      <c r="E13" s="115"/>
      <c r="F13" s="114"/>
      <c r="G13" s="111"/>
      <c r="H13" s="111"/>
      <c r="I13" s="111"/>
      <c r="J13" s="111"/>
      <c r="K13" s="111"/>
      <c r="L13" s="113"/>
    </row>
    <row r="14" spans="1:12">
      <c r="A14" s="27">
        <v>1</v>
      </c>
      <c r="B14" s="27">
        <v>2</v>
      </c>
      <c r="C14" s="27">
        <v>3</v>
      </c>
      <c r="D14" s="27">
        <v>4</v>
      </c>
      <c r="E14" s="27">
        <v>5</v>
      </c>
      <c r="F14" s="28">
        <v>6</v>
      </c>
      <c r="G14" s="28">
        <v>7</v>
      </c>
      <c r="H14" s="28">
        <v>8</v>
      </c>
      <c r="I14" s="28">
        <v>9</v>
      </c>
      <c r="J14" s="28">
        <v>10</v>
      </c>
      <c r="K14" s="28">
        <v>11</v>
      </c>
      <c r="L14" s="27">
        <v>12</v>
      </c>
    </row>
    <row r="15" spans="1:12">
      <c r="A15" s="29"/>
      <c r="B15" s="29"/>
      <c r="C15" s="29"/>
      <c r="D15" s="29"/>
      <c r="E15" s="27"/>
      <c r="F15" s="30"/>
      <c r="G15" s="30"/>
      <c r="H15" s="30"/>
      <c r="I15" s="30"/>
      <c r="J15" s="30"/>
      <c r="K15" s="30"/>
      <c r="L15" s="29"/>
    </row>
    <row r="16" spans="1:12" ht="29.25" customHeight="1">
      <c r="A16" s="29"/>
      <c r="B16" s="29"/>
      <c r="C16" s="31" t="s">
        <v>435</v>
      </c>
      <c r="D16" s="31"/>
      <c r="E16" s="27"/>
      <c r="F16" s="32">
        <f t="shared" ref="F16:K16" si="0">F17+F50+F58+F61+F64+F104+F108+F121+F127+F136+F143+F150</f>
        <v>549161031.99000001</v>
      </c>
      <c r="G16" s="32">
        <f t="shared" si="0"/>
        <v>9014544.8399999999</v>
      </c>
      <c r="H16" s="32">
        <f t="shared" si="0"/>
        <v>28545813</v>
      </c>
      <c r="I16" s="32">
        <f t="shared" si="0"/>
        <v>12200000</v>
      </c>
      <c r="J16" s="32">
        <f t="shared" si="0"/>
        <v>14200000</v>
      </c>
      <c r="K16" s="32">
        <f t="shared" si="0"/>
        <v>17200000</v>
      </c>
      <c r="L16" s="29"/>
    </row>
    <row r="17" spans="1:12" s="1" customFormat="1" ht="93.75" customHeight="1">
      <c r="A17" s="33" t="s">
        <v>453</v>
      </c>
      <c r="B17" s="33" t="s">
        <v>454</v>
      </c>
      <c r="C17" s="34" t="s">
        <v>455</v>
      </c>
      <c r="D17" s="35"/>
      <c r="E17" s="36"/>
      <c r="F17" s="37">
        <f t="shared" ref="F17:K17" si="1">SUM(F18:F49)</f>
        <v>14407534.219999999</v>
      </c>
      <c r="G17" s="37">
        <f t="shared" si="1"/>
        <v>5248627.2999999989</v>
      </c>
      <c r="H17" s="37">
        <f t="shared" si="1"/>
        <v>4622566</v>
      </c>
      <c r="I17" s="37">
        <f t="shared" si="1"/>
        <v>1000000</v>
      </c>
      <c r="J17" s="37">
        <f t="shared" si="1"/>
        <v>1000000</v>
      </c>
      <c r="K17" s="37">
        <f t="shared" si="1"/>
        <v>1000000</v>
      </c>
      <c r="L17" s="36"/>
    </row>
    <row r="18" spans="1:12" ht="22.5" customHeight="1">
      <c r="A18" s="38"/>
      <c r="B18" s="39"/>
      <c r="C18" s="39"/>
      <c r="D18" s="40" t="s">
        <v>484</v>
      </c>
      <c r="E18" s="41"/>
      <c r="F18" s="42"/>
      <c r="G18" s="43">
        <v>197734</v>
      </c>
      <c r="H18" s="42"/>
      <c r="I18" s="42">
        <v>1000000</v>
      </c>
      <c r="J18" s="42">
        <v>1000000</v>
      </c>
      <c r="K18" s="42">
        <v>1000000</v>
      </c>
      <c r="L18" s="41">
        <v>100</v>
      </c>
    </row>
    <row r="19" spans="1:12" ht="18" customHeight="1">
      <c r="A19" s="38"/>
      <c r="B19" s="39"/>
      <c r="C19" s="39"/>
      <c r="D19" s="40" t="s">
        <v>436</v>
      </c>
      <c r="E19" s="41"/>
      <c r="F19" s="42"/>
      <c r="G19" s="43">
        <f>198000</f>
        <v>198000</v>
      </c>
      <c r="H19" s="42"/>
      <c r="I19" s="42"/>
      <c r="J19" s="42"/>
      <c r="K19" s="42"/>
      <c r="L19" s="41">
        <v>100</v>
      </c>
    </row>
    <row r="20" spans="1:12" ht="66.75" customHeight="1">
      <c r="A20" s="38"/>
      <c r="B20" s="39"/>
      <c r="C20" s="39"/>
      <c r="D20" s="44" t="s">
        <v>437</v>
      </c>
      <c r="E20" s="41"/>
      <c r="F20" s="42"/>
      <c r="G20" s="45"/>
      <c r="H20" s="42"/>
      <c r="I20" s="42"/>
      <c r="J20" s="42"/>
      <c r="K20" s="42"/>
      <c r="L20" s="41"/>
    </row>
    <row r="21" spans="1:12" ht="38.25" customHeight="1">
      <c r="A21" s="41"/>
      <c r="B21" s="41"/>
      <c r="C21" s="41"/>
      <c r="D21" s="46" t="s">
        <v>438</v>
      </c>
      <c r="E21" s="41"/>
      <c r="F21" s="42"/>
      <c r="G21" s="43">
        <v>54173.9</v>
      </c>
      <c r="H21" s="42"/>
      <c r="I21" s="42"/>
      <c r="J21" s="42"/>
      <c r="K21" s="42"/>
      <c r="L21" s="41">
        <v>100</v>
      </c>
    </row>
    <row r="22" spans="1:12" ht="12.75">
      <c r="A22" s="39"/>
      <c r="B22" s="39"/>
      <c r="C22" s="39"/>
      <c r="D22" s="39"/>
      <c r="E22" s="41"/>
      <c r="F22" s="42"/>
      <c r="G22" s="42"/>
      <c r="H22" s="42"/>
      <c r="I22" s="42"/>
      <c r="J22" s="42"/>
      <c r="K22" s="42"/>
      <c r="L22" s="41"/>
    </row>
    <row r="23" spans="1:12" ht="36.75" customHeight="1">
      <c r="A23" s="39"/>
      <c r="B23" s="39"/>
      <c r="C23" s="39"/>
      <c r="D23" s="47" t="s">
        <v>439</v>
      </c>
      <c r="E23" s="41"/>
      <c r="F23" s="42"/>
      <c r="G23" s="43">
        <f>500000-129412</f>
        <v>370588</v>
      </c>
      <c r="H23" s="42"/>
      <c r="I23" s="42"/>
      <c r="J23" s="42"/>
      <c r="K23" s="42"/>
      <c r="L23" s="41">
        <v>100</v>
      </c>
    </row>
    <row r="24" spans="1:12" ht="12.75">
      <c r="A24" s="39"/>
      <c r="B24" s="39"/>
      <c r="C24" s="39"/>
      <c r="D24" s="39"/>
      <c r="E24" s="41"/>
      <c r="F24" s="42"/>
      <c r="G24" s="42"/>
      <c r="H24" s="42"/>
      <c r="I24" s="42"/>
      <c r="J24" s="42"/>
      <c r="K24" s="42"/>
      <c r="L24" s="41"/>
    </row>
    <row r="25" spans="1:12" ht="25.5">
      <c r="A25" s="39"/>
      <c r="B25" s="39"/>
      <c r="C25" s="39"/>
      <c r="D25" s="40" t="s">
        <v>441</v>
      </c>
      <c r="E25" s="41" t="s">
        <v>224</v>
      </c>
      <c r="F25" s="42">
        <v>2650000</v>
      </c>
      <c r="G25" s="43">
        <f>1680000</f>
        <v>1680000</v>
      </c>
      <c r="H25" s="42"/>
      <c r="I25" s="42"/>
      <c r="J25" s="42"/>
      <c r="K25" s="42"/>
      <c r="L25" s="41">
        <v>100</v>
      </c>
    </row>
    <row r="26" spans="1:12" ht="12.75">
      <c r="A26" s="39"/>
      <c r="B26" s="39"/>
      <c r="C26" s="39"/>
      <c r="D26" s="39"/>
      <c r="E26" s="41"/>
      <c r="F26" s="42"/>
      <c r="G26" s="42"/>
      <c r="H26" s="42"/>
      <c r="I26" s="42"/>
      <c r="J26" s="42"/>
      <c r="K26" s="42"/>
      <c r="L26" s="39"/>
    </row>
    <row r="27" spans="1:12" ht="25.5">
      <c r="A27" s="39"/>
      <c r="B27" s="39"/>
      <c r="C27" s="39"/>
      <c r="D27" s="46" t="s">
        <v>442</v>
      </c>
      <c r="E27" s="41" t="s">
        <v>224</v>
      </c>
      <c r="F27" s="42">
        <v>1470257</v>
      </c>
      <c r="G27" s="48">
        <v>1393316.48</v>
      </c>
      <c r="H27" s="42"/>
      <c r="I27" s="42"/>
      <c r="J27" s="42"/>
      <c r="K27" s="42"/>
      <c r="L27" s="41">
        <v>95</v>
      </c>
    </row>
    <row r="28" spans="1:12" ht="25.5">
      <c r="A28" s="39"/>
      <c r="B28" s="39"/>
      <c r="C28" s="39"/>
      <c r="D28" s="46" t="s">
        <v>443</v>
      </c>
      <c r="E28" s="41">
        <v>2020</v>
      </c>
      <c r="F28" s="42">
        <v>299658</v>
      </c>
      <c r="G28" s="48">
        <f>295000</f>
        <v>295000</v>
      </c>
      <c r="H28" s="42"/>
      <c r="I28" s="42"/>
      <c r="J28" s="42"/>
      <c r="K28" s="42"/>
      <c r="L28" s="41">
        <v>98</v>
      </c>
    </row>
    <row r="29" spans="1:12" ht="25.5">
      <c r="A29" s="39"/>
      <c r="B29" s="39"/>
      <c r="C29" s="39"/>
      <c r="D29" s="40" t="s">
        <v>444</v>
      </c>
      <c r="E29" s="41" t="s">
        <v>224</v>
      </c>
      <c r="F29" s="42">
        <v>48000</v>
      </c>
      <c r="G29" s="48">
        <v>30420</v>
      </c>
      <c r="H29" s="42"/>
      <c r="I29" s="42"/>
      <c r="J29" s="42"/>
      <c r="K29" s="42"/>
      <c r="L29" s="41">
        <v>100</v>
      </c>
    </row>
    <row r="30" spans="1:12" ht="51">
      <c r="A30" s="39"/>
      <c r="B30" s="39"/>
      <c r="C30" s="39"/>
      <c r="D30" s="49" t="s">
        <v>448</v>
      </c>
      <c r="E30" s="41">
        <v>2020</v>
      </c>
      <c r="F30" s="42">
        <v>167710</v>
      </c>
      <c r="G30" s="48">
        <v>166227.56</v>
      </c>
      <c r="H30" s="42"/>
      <c r="I30" s="42"/>
      <c r="J30" s="42"/>
      <c r="K30" s="42"/>
      <c r="L30" s="41">
        <v>99</v>
      </c>
    </row>
    <row r="31" spans="1:12" ht="51">
      <c r="A31" s="39"/>
      <c r="B31" s="39"/>
      <c r="C31" s="39"/>
      <c r="D31" s="49" t="s">
        <v>449</v>
      </c>
      <c r="E31" s="41">
        <v>2020</v>
      </c>
      <c r="F31" s="42">
        <v>74405</v>
      </c>
      <c r="G31" s="48">
        <v>73754.47</v>
      </c>
      <c r="H31" s="42"/>
      <c r="I31" s="42"/>
      <c r="J31" s="42"/>
      <c r="K31" s="42"/>
      <c r="L31" s="41">
        <v>99</v>
      </c>
    </row>
    <row r="32" spans="1:12" ht="38.25">
      <c r="A32" s="39"/>
      <c r="B32" s="39"/>
      <c r="C32" s="39"/>
      <c r="D32" s="46" t="s">
        <v>451</v>
      </c>
      <c r="E32" s="41" t="s">
        <v>224</v>
      </c>
      <c r="F32" s="42">
        <v>1485659</v>
      </c>
      <c r="G32" s="48">
        <v>786570.89</v>
      </c>
      <c r="H32" s="42"/>
      <c r="I32" s="42"/>
      <c r="J32" s="42"/>
      <c r="K32" s="42"/>
      <c r="L32" s="41">
        <v>53</v>
      </c>
    </row>
    <row r="33" spans="1:12" ht="51">
      <c r="A33" s="39"/>
      <c r="B33" s="39"/>
      <c r="C33" s="39"/>
      <c r="D33" s="49" t="s">
        <v>452</v>
      </c>
      <c r="E33" s="41">
        <v>2020</v>
      </c>
      <c r="F33" s="42">
        <v>218464</v>
      </c>
      <c r="G33" s="48">
        <v>2842</v>
      </c>
      <c r="H33" s="42"/>
      <c r="I33" s="42"/>
      <c r="J33" s="42"/>
      <c r="K33" s="42"/>
      <c r="L33" s="41">
        <v>1</v>
      </c>
    </row>
    <row r="34" spans="1:12" ht="25.5">
      <c r="A34" s="39"/>
      <c r="B34" s="39"/>
      <c r="C34" s="39"/>
      <c r="D34" s="40" t="s">
        <v>167</v>
      </c>
      <c r="E34" s="41">
        <v>2021</v>
      </c>
      <c r="F34" s="42">
        <v>1411042.22</v>
      </c>
      <c r="G34" s="48"/>
      <c r="H34" s="50">
        <f>300000</f>
        <v>300000</v>
      </c>
      <c r="I34" s="42"/>
      <c r="J34" s="42"/>
      <c r="K34" s="42"/>
      <c r="L34" s="41">
        <v>21</v>
      </c>
    </row>
    <row r="35" spans="1:12" ht="38.25">
      <c r="A35" s="39"/>
      <c r="B35" s="39"/>
      <c r="C35" s="39"/>
      <c r="D35" s="40" t="s">
        <v>168</v>
      </c>
      <c r="E35" s="41">
        <v>2021</v>
      </c>
      <c r="F35" s="50">
        <f>400000-345029</f>
        <v>54971</v>
      </c>
      <c r="G35" s="48"/>
      <c r="H35" s="50">
        <f>400000-345029</f>
        <v>54971</v>
      </c>
      <c r="I35" s="42"/>
      <c r="J35" s="42"/>
      <c r="K35" s="42"/>
      <c r="L35" s="41">
        <v>100</v>
      </c>
    </row>
    <row r="36" spans="1:12" ht="33.75" customHeight="1">
      <c r="A36" s="39"/>
      <c r="B36" s="39"/>
      <c r="C36" s="39"/>
      <c r="D36" s="40" t="s">
        <v>169</v>
      </c>
      <c r="E36" s="41">
        <v>2021</v>
      </c>
      <c r="F36" s="42">
        <v>500000</v>
      </c>
      <c r="G36" s="48"/>
      <c r="H36" s="50">
        <f>500000</f>
        <v>500000</v>
      </c>
      <c r="I36" s="42"/>
      <c r="J36" s="42"/>
      <c r="K36" s="42"/>
      <c r="L36" s="41">
        <v>100</v>
      </c>
    </row>
    <row r="37" spans="1:12" ht="25.5">
      <c r="A37" s="39"/>
      <c r="B37" s="39"/>
      <c r="C37" s="39"/>
      <c r="D37" s="40" t="s">
        <v>170</v>
      </c>
      <c r="E37" s="41">
        <v>2021</v>
      </c>
      <c r="F37" s="42">
        <v>300000</v>
      </c>
      <c r="G37" s="48"/>
      <c r="H37" s="50">
        <f>300000</f>
        <v>300000</v>
      </c>
      <c r="I37" s="42"/>
      <c r="J37" s="42"/>
      <c r="K37" s="42"/>
      <c r="L37" s="41">
        <v>100</v>
      </c>
    </row>
    <row r="38" spans="1:12" ht="51">
      <c r="A38" s="39"/>
      <c r="B38" s="39"/>
      <c r="C38" s="39"/>
      <c r="D38" s="40" t="s">
        <v>447</v>
      </c>
      <c r="E38" s="41">
        <v>2021</v>
      </c>
      <c r="F38" s="42">
        <v>1019984</v>
      </c>
      <c r="G38" s="48"/>
      <c r="H38" s="50">
        <f>860000-242405</f>
        <v>617595</v>
      </c>
      <c r="I38" s="42"/>
      <c r="J38" s="42"/>
      <c r="K38" s="42"/>
      <c r="L38" s="41">
        <v>61</v>
      </c>
    </row>
    <row r="39" spans="1:12" ht="25.5">
      <c r="A39" s="39"/>
      <c r="B39" s="39"/>
      <c r="C39" s="39"/>
      <c r="D39" s="40" t="s">
        <v>171</v>
      </c>
      <c r="E39" s="41">
        <v>2021</v>
      </c>
      <c r="F39" s="42">
        <v>500000</v>
      </c>
      <c r="G39" s="48"/>
      <c r="H39" s="50">
        <f>500000</f>
        <v>500000</v>
      </c>
      <c r="I39" s="42"/>
      <c r="J39" s="42"/>
      <c r="K39" s="42"/>
      <c r="L39" s="41">
        <v>100</v>
      </c>
    </row>
    <row r="40" spans="1:12" ht="25.5">
      <c r="A40" s="39"/>
      <c r="B40" s="39"/>
      <c r="C40" s="39"/>
      <c r="D40" s="46" t="s">
        <v>172</v>
      </c>
      <c r="E40" s="41" t="s">
        <v>88</v>
      </c>
      <c r="F40" s="42">
        <v>1103739</v>
      </c>
      <c r="G40" s="48"/>
      <c r="H40" s="50">
        <f>800000-270000</f>
        <v>530000</v>
      </c>
      <c r="I40" s="42"/>
      <c r="J40" s="42"/>
      <c r="K40" s="42"/>
      <c r="L40" s="41">
        <v>48</v>
      </c>
    </row>
    <row r="41" spans="1:12" ht="38.25">
      <c r="A41" s="39"/>
      <c r="B41" s="39"/>
      <c r="C41" s="39"/>
      <c r="D41" s="40" t="s">
        <v>450</v>
      </c>
      <c r="E41" s="41">
        <v>2021</v>
      </c>
      <c r="F41" s="42">
        <v>281465</v>
      </c>
      <c r="G41" s="48"/>
      <c r="H41" s="50">
        <f>210000</f>
        <v>210000</v>
      </c>
      <c r="I41" s="42"/>
      <c r="J41" s="42"/>
      <c r="K41" s="42"/>
      <c r="L41" s="41">
        <v>75</v>
      </c>
    </row>
    <row r="42" spans="1:12" ht="38.25">
      <c r="A42" s="39"/>
      <c r="B42" s="39"/>
      <c r="C42" s="39"/>
      <c r="D42" s="40" t="s">
        <v>173</v>
      </c>
      <c r="E42" s="41">
        <v>2021</v>
      </c>
      <c r="F42" s="42">
        <v>276823</v>
      </c>
      <c r="G42" s="48"/>
      <c r="H42" s="50">
        <f>200000</f>
        <v>200000</v>
      </c>
      <c r="I42" s="42"/>
      <c r="J42" s="42"/>
      <c r="K42" s="42"/>
      <c r="L42" s="41">
        <v>72</v>
      </c>
    </row>
    <row r="43" spans="1:12" ht="51">
      <c r="A43" s="39"/>
      <c r="B43" s="39"/>
      <c r="C43" s="39"/>
      <c r="D43" s="40" t="s">
        <v>174</v>
      </c>
      <c r="E43" s="41">
        <v>2021</v>
      </c>
      <c r="F43" s="42">
        <v>215000</v>
      </c>
      <c r="G43" s="48"/>
      <c r="H43" s="50">
        <f>210000</f>
        <v>210000</v>
      </c>
      <c r="I43" s="42"/>
      <c r="J43" s="42"/>
      <c r="K43" s="42"/>
      <c r="L43" s="41">
        <v>98</v>
      </c>
    </row>
    <row r="44" spans="1:12" ht="25.5">
      <c r="A44" s="39"/>
      <c r="B44" s="39"/>
      <c r="C44" s="39"/>
      <c r="D44" s="40" t="s">
        <v>175</v>
      </c>
      <c r="E44" s="41">
        <v>2021</v>
      </c>
      <c r="F44" s="42">
        <v>1436555</v>
      </c>
      <c r="G44" s="48"/>
      <c r="H44" s="50">
        <f>600000</f>
        <v>600000</v>
      </c>
      <c r="I44" s="42"/>
      <c r="J44" s="42"/>
      <c r="K44" s="42"/>
      <c r="L44" s="41">
        <v>42</v>
      </c>
    </row>
    <row r="45" spans="1:12" ht="25.5">
      <c r="A45" s="39"/>
      <c r="B45" s="39"/>
      <c r="C45" s="39"/>
      <c r="D45" s="40" t="s">
        <v>176</v>
      </c>
      <c r="E45" s="41">
        <v>2021</v>
      </c>
      <c r="F45" s="42">
        <v>693802</v>
      </c>
      <c r="G45" s="48"/>
      <c r="H45" s="50">
        <f>400000</f>
        <v>400000</v>
      </c>
      <c r="I45" s="42"/>
      <c r="J45" s="42"/>
      <c r="K45" s="42"/>
      <c r="L45" s="41">
        <v>58</v>
      </c>
    </row>
    <row r="46" spans="1:12" ht="12.75">
      <c r="A46" s="39"/>
      <c r="B46" s="39"/>
      <c r="C46" s="39"/>
      <c r="D46" s="40"/>
      <c r="E46" s="41"/>
      <c r="F46" s="42"/>
      <c r="G46" s="48"/>
      <c r="H46" s="50"/>
      <c r="I46" s="42"/>
      <c r="J46" s="42"/>
      <c r="K46" s="42"/>
      <c r="L46" s="41"/>
    </row>
    <row r="47" spans="1:12" ht="25.5">
      <c r="A47" s="39"/>
      <c r="B47" s="39"/>
      <c r="C47" s="39"/>
      <c r="D47" s="40" t="s">
        <v>177</v>
      </c>
      <c r="E47" s="41">
        <v>2021</v>
      </c>
      <c r="F47" s="42">
        <v>100000</v>
      </c>
      <c r="G47" s="48"/>
      <c r="H47" s="43">
        <f>100000</f>
        <v>100000</v>
      </c>
      <c r="I47" s="42"/>
      <c r="J47" s="42"/>
      <c r="K47" s="42"/>
      <c r="L47" s="41">
        <v>100</v>
      </c>
    </row>
    <row r="48" spans="1:12" ht="25.5">
      <c r="A48" s="39"/>
      <c r="B48" s="39"/>
      <c r="C48" s="39"/>
      <c r="D48" s="40" t="s">
        <v>178</v>
      </c>
      <c r="E48" s="41">
        <v>2021</v>
      </c>
      <c r="F48" s="42">
        <v>100000</v>
      </c>
      <c r="G48" s="48"/>
      <c r="H48" s="43">
        <f>100000</f>
        <v>100000</v>
      </c>
      <c r="I48" s="42"/>
      <c r="J48" s="42"/>
      <c r="K48" s="42"/>
      <c r="L48" s="41">
        <v>100</v>
      </c>
    </row>
    <row r="49" spans="1:12" ht="12.75">
      <c r="A49" s="39"/>
      <c r="B49" s="39"/>
      <c r="C49" s="39"/>
      <c r="D49" s="46"/>
      <c r="E49" s="41"/>
      <c r="F49" s="42"/>
      <c r="G49" s="48"/>
      <c r="H49" s="42"/>
      <c r="I49" s="42"/>
      <c r="J49" s="42"/>
      <c r="K49" s="42"/>
      <c r="L49" s="39"/>
    </row>
    <row r="50" spans="1:12" ht="36" customHeight="1">
      <c r="A50" s="33" t="s">
        <v>456</v>
      </c>
      <c r="B50" s="51" t="s">
        <v>457</v>
      </c>
      <c r="C50" s="44" t="s">
        <v>458</v>
      </c>
      <c r="D50" s="39"/>
      <c r="E50" s="41"/>
      <c r="F50" s="52">
        <f t="shared" ref="F50:K50" si="2">F51</f>
        <v>1857070</v>
      </c>
      <c r="G50" s="52">
        <f t="shared" si="2"/>
        <v>249720</v>
      </c>
      <c r="H50" s="52">
        <f t="shared" si="2"/>
        <v>1580875</v>
      </c>
      <c r="I50" s="52">
        <f t="shared" si="2"/>
        <v>0</v>
      </c>
      <c r="J50" s="52">
        <f t="shared" si="2"/>
        <v>0</v>
      </c>
      <c r="K50" s="52">
        <f t="shared" si="2"/>
        <v>0</v>
      </c>
      <c r="L50" s="39"/>
    </row>
    <row r="51" spans="1:12" ht="36.75" customHeight="1">
      <c r="A51" s="39"/>
      <c r="B51" s="39"/>
      <c r="C51" s="39"/>
      <c r="D51" s="53" t="s">
        <v>459</v>
      </c>
      <c r="E51" s="41"/>
      <c r="F51" s="52">
        <f t="shared" ref="F51:K51" si="3">SUM(F52:F57)</f>
        <v>1857070</v>
      </c>
      <c r="G51" s="52">
        <f t="shared" si="3"/>
        <v>249720</v>
      </c>
      <c r="H51" s="52">
        <f t="shared" si="3"/>
        <v>1580875</v>
      </c>
      <c r="I51" s="52">
        <f t="shared" si="3"/>
        <v>0</v>
      </c>
      <c r="J51" s="52">
        <f t="shared" si="3"/>
        <v>0</v>
      </c>
      <c r="K51" s="52">
        <f t="shared" si="3"/>
        <v>0</v>
      </c>
      <c r="L51" s="39"/>
    </row>
    <row r="52" spans="1:12" ht="25.5">
      <c r="A52" s="39"/>
      <c r="B52" s="39"/>
      <c r="C52" s="39"/>
      <c r="D52" s="40" t="s">
        <v>460</v>
      </c>
      <c r="E52" s="41">
        <v>2020</v>
      </c>
      <c r="F52" s="42">
        <v>249720</v>
      </c>
      <c r="G52" s="43">
        <v>249720</v>
      </c>
      <c r="H52" s="43"/>
      <c r="I52" s="42"/>
      <c r="J52" s="42"/>
      <c r="K52" s="42"/>
      <c r="L52" s="41">
        <v>100</v>
      </c>
    </row>
    <row r="53" spans="1:12" ht="25.5">
      <c r="A53" s="39"/>
      <c r="B53" s="39"/>
      <c r="C53" s="39"/>
      <c r="D53" s="40" t="s">
        <v>463</v>
      </c>
      <c r="E53" s="41">
        <v>2021</v>
      </c>
      <c r="F53" s="42">
        <v>337350</v>
      </c>
      <c r="G53" s="54"/>
      <c r="H53" s="43">
        <v>337350</v>
      </c>
      <c r="I53" s="42"/>
      <c r="J53" s="42"/>
      <c r="K53" s="42"/>
      <c r="L53" s="41">
        <v>100</v>
      </c>
    </row>
    <row r="54" spans="1:12" ht="12.75">
      <c r="A54" s="39"/>
      <c r="B54" s="39"/>
      <c r="C54" s="39"/>
      <c r="D54" s="49"/>
      <c r="E54" s="41"/>
      <c r="F54" s="42"/>
      <c r="G54" s="54"/>
      <c r="H54" s="50"/>
      <c r="I54" s="42"/>
      <c r="J54" s="42"/>
      <c r="K54" s="42"/>
      <c r="L54" s="39"/>
    </row>
    <row r="55" spans="1:12" ht="38.25">
      <c r="A55" s="39"/>
      <c r="B55" s="39"/>
      <c r="C55" s="39"/>
      <c r="D55" s="40" t="s">
        <v>462</v>
      </c>
      <c r="E55" s="41">
        <v>2021</v>
      </c>
      <c r="F55" s="42">
        <v>330000</v>
      </c>
      <c r="G55" s="54"/>
      <c r="H55" s="50">
        <f>330000-17645</f>
        <v>312355</v>
      </c>
      <c r="I55" s="42"/>
      <c r="J55" s="42"/>
      <c r="K55" s="42"/>
      <c r="L55" s="41">
        <v>100</v>
      </c>
    </row>
    <row r="56" spans="1:12" ht="38.25">
      <c r="A56" s="39"/>
      <c r="B56" s="39"/>
      <c r="C56" s="39"/>
      <c r="D56" s="40" t="s">
        <v>461</v>
      </c>
      <c r="E56" s="41">
        <v>2021</v>
      </c>
      <c r="F56" s="42">
        <v>550000</v>
      </c>
      <c r="G56" s="54"/>
      <c r="H56" s="50">
        <f>550000-8830</f>
        <v>541170</v>
      </c>
      <c r="I56" s="42"/>
      <c r="J56" s="42"/>
      <c r="K56" s="42"/>
      <c r="L56" s="41">
        <v>100</v>
      </c>
    </row>
    <row r="57" spans="1:12" ht="51">
      <c r="A57" s="39"/>
      <c r="B57" s="39"/>
      <c r="C57" s="39"/>
      <c r="D57" s="40" t="s">
        <v>464</v>
      </c>
      <c r="E57" s="41">
        <v>2021</v>
      </c>
      <c r="F57" s="42">
        <v>390000</v>
      </c>
      <c r="G57" s="54"/>
      <c r="H57" s="50">
        <f>390000</f>
        <v>390000</v>
      </c>
      <c r="I57" s="42"/>
      <c r="J57" s="42"/>
      <c r="K57" s="42"/>
      <c r="L57" s="41">
        <v>100</v>
      </c>
    </row>
    <row r="58" spans="1:12" ht="56.25" customHeight="1">
      <c r="A58" s="33" t="s">
        <v>179</v>
      </c>
      <c r="B58" s="33" t="s">
        <v>180</v>
      </c>
      <c r="C58" s="55" t="s">
        <v>181</v>
      </c>
      <c r="D58" s="39"/>
      <c r="E58" s="41"/>
      <c r="F58" s="52">
        <f t="shared" ref="F58:K58" si="4">SUM(F59)</f>
        <v>0</v>
      </c>
      <c r="G58" s="52">
        <f t="shared" si="4"/>
        <v>0</v>
      </c>
      <c r="H58" s="52">
        <f t="shared" si="4"/>
        <v>270000</v>
      </c>
      <c r="I58" s="52">
        <f t="shared" si="4"/>
        <v>0</v>
      </c>
      <c r="J58" s="52">
        <f t="shared" si="4"/>
        <v>0</v>
      </c>
      <c r="K58" s="52">
        <f t="shared" si="4"/>
        <v>0</v>
      </c>
      <c r="L58" s="39"/>
    </row>
    <row r="59" spans="1:12" ht="25.5">
      <c r="A59" s="39"/>
      <c r="B59" s="39"/>
      <c r="C59" s="39"/>
      <c r="D59" s="49" t="s">
        <v>182</v>
      </c>
      <c r="E59" s="41"/>
      <c r="F59" s="42"/>
      <c r="G59" s="42"/>
      <c r="H59" s="43">
        <f>270000</f>
        <v>270000</v>
      </c>
      <c r="I59" s="42"/>
      <c r="J59" s="42"/>
      <c r="K59" s="42"/>
      <c r="L59" s="41">
        <v>100</v>
      </c>
    </row>
    <row r="60" spans="1:12" ht="12.75">
      <c r="A60" s="39"/>
      <c r="B60" s="39"/>
      <c r="C60" s="39"/>
      <c r="D60" s="39"/>
      <c r="E60" s="41"/>
      <c r="F60" s="42"/>
      <c r="G60" s="42"/>
      <c r="H60" s="42"/>
      <c r="I60" s="42"/>
      <c r="J60" s="42"/>
      <c r="K60" s="42"/>
      <c r="L60" s="39"/>
    </row>
    <row r="61" spans="1:12" ht="38.25">
      <c r="A61" s="33" t="s">
        <v>465</v>
      </c>
      <c r="B61" s="33">
        <v>2020</v>
      </c>
      <c r="C61" s="55" t="s">
        <v>466</v>
      </c>
      <c r="D61" s="39"/>
      <c r="E61" s="41"/>
      <c r="F61" s="52">
        <f t="shared" ref="F61:K61" si="5">SUM(F62)</f>
        <v>0</v>
      </c>
      <c r="G61" s="52">
        <f t="shared" si="5"/>
        <v>1266837</v>
      </c>
      <c r="H61" s="52">
        <f t="shared" si="5"/>
        <v>0</v>
      </c>
      <c r="I61" s="52">
        <f t="shared" si="5"/>
        <v>0</v>
      </c>
      <c r="J61" s="52">
        <f t="shared" si="5"/>
        <v>0</v>
      </c>
      <c r="K61" s="52">
        <f t="shared" si="5"/>
        <v>0</v>
      </c>
      <c r="L61" s="39"/>
    </row>
    <row r="62" spans="1:12" ht="38.25">
      <c r="A62" s="39"/>
      <c r="B62" s="39"/>
      <c r="C62" s="39"/>
      <c r="D62" s="47" t="s">
        <v>440</v>
      </c>
      <c r="E62" s="41"/>
      <c r="F62" s="43"/>
      <c r="G62" s="43">
        <f>1266837</f>
        <v>1266837</v>
      </c>
      <c r="H62" s="42"/>
      <c r="I62" s="42"/>
      <c r="J62" s="42"/>
      <c r="K62" s="42"/>
      <c r="L62" s="41">
        <v>100</v>
      </c>
    </row>
    <row r="63" spans="1:12" ht="12.75">
      <c r="A63" s="39"/>
      <c r="B63" s="39"/>
      <c r="C63" s="39"/>
      <c r="D63" s="39"/>
      <c r="E63" s="41"/>
      <c r="F63" s="42"/>
      <c r="G63" s="42"/>
      <c r="H63" s="42"/>
      <c r="I63" s="42"/>
      <c r="J63" s="42"/>
      <c r="K63" s="42"/>
      <c r="L63" s="39"/>
    </row>
    <row r="64" spans="1:12" ht="54" customHeight="1">
      <c r="A64" s="33" t="s">
        <v>467</v>
      </c>
      <c r="B64" s="51" t="s">
        <v>468</v>
      </c>
      <c r="C64" s="55" t="s">
        <v>469</v>
      </c>
      <c r="D64" s="39"/>
      <c r="E64" s="41"/>
      <c r="F64" s="52">
        <f t="shared" ref="F64:K64" si="6">F65</f>
        <v>5012045.7700000005</v>
      </c>
      <c r="G64" s="52">
        <f t="shared" si="6"/>
        <v>1503571.7700000003</v>
      </c>
      <c r="H64" s="52">
        <f t="shared" si="6"/>
        <v>3508474</v>
      </c>
      <c r="I64" s="52">
        <f t="shared" si="6"/>
        <v>0</v>
      </c>
      <c r="J64" s="52">
        <f t="shared" si="6"/>
        <v>0</v>
      </c>
      <c r="K64" s="52">
        <f t="shared" si="6"/>
        <v>0</v>
      </c>
      <c r="L64" s="39"/>
    </row>
    <row r="65" spans="1:12" ht="57.75" customHeight="1">
      <c r="A65" s="39"/>
      <c r="B65" s="39"/>
      <c r="C65" s="39"/>
      <c r="D65" s="56" t="s">
        <v>470</v>
      </c>
      <c r="E65" s="41"/>
      <c r="F65" s="52">
        <f t="shared" ref="F65:K65" si="7">SUM(F66:F103)</f>
        <v>5012045.7700000005</v>
      </c>
      <c r="G65" s="52">
        <f t="shared" si="7"/>
        <v>1503571.7700000003</v>
      </c>
      <c r="H65" s="52">
        <f t="shared" si="7"/>
        <v>3508474</v>
      </c>
      <c r="I65" s="52">
        <f t="shared" si="7"/>
        <v>0</v>
      </c>
      <c r="J65" s="52">
        <f t="shared" si="7"/>
        <v>0</v>
      </c>
      <c r="K65" s="52">
        <f t="shared" si="7"/>
        <v>0</v>
      </c>
      <c r="L65" s="39"/>
    </row>
    <row r="66" spans="1:12" ht="25.5">
      <c r="A66" s="39"/>
      <c r="B66" s="39"/>
      <c r="C66" s="39"/>
      <c r="D66" s="46" t="s">
        <v>471</v>
      </c>
      <c r="E66" s="41">
        <v>2020</v>
      </c>
      <c r="F66" s="50">
        <v>69211.8</v>
      </c>
      <c r="G66" s="50">
        <v>69211.8</v>
      </c>
      <c r="H66" s="42"/>
      <c r="I66" s="42"/>
      <c r="J66" s="42"/>
      <c r="K66" s="42"/>
      <c r="L66" s="41">
        <v>100</v>
      </c>
    </row>
    <row r="67" spans="1:12" ht="51">
      <c r="A67" s="39"/>
      <c r="B67" s="39"/>
      <c r="C67" s="39"/>
      <c r="D67" s="40" t="s">
        <v>474</v>
      </c>
      <c r="E67" s="41">
        <v>2020</v>
      </c>
      <c r="F67" s="50">
        <v>79442.22</v>
      </c>
      <c r="G67" s="50">
        <v>79442.22</v>
      </c>
      <c r="H67" s="42"/>
      <c r="I67" s="42"/>
      <c r="J67" s="42"/>
      <c r="K67" s="42"/>
      <c r="L67" s="41">
        <v>100</v>
      </c>
    </row>
    <row r="68" spans="1:12" ht="46.5" customHeight="1">
      <c r="A68" s="39"/>
      <c r="B68" s="39"/>
      <c r="C68" s="39"/>
      <c r="D68" s="40" t="s">
        <v>477</v>
      </c>
      <c r="E68" s="41">
        <v>2020</v>
      </c>
      <c r="F68" s="50">
        <f>161007</f>
        <v>161007</v>
      </c>
      <c r="G68" s="50">
        <f>161007</f>
        <v>161007</v>
      </c>
      <c r="H68" s="42"/>
      <c r="I68" s="42"/>
      <c r="J68" s="42"/>
      <c r="K68" s="42"/>
      <c r="L68" s="41">
        <v>100</v>
      </c>
    </row>
    <row r="69" spans="1:12" ht="38.25">
      <c r="A69" s="39"/>
      <c r="B69" s="39"/>
      <c r="C69" s="39"/>
      <c r="D69" s="40" t="s">
        <v>36</v>
      </c>
      <c r="E69" s="41">
        <v>2020</v>
      </c>
      <c r="F69" s="50">
        <v>74003.199999999997</v>
      </c>
      <c r="G69" s="50">
        <v>74003.199999999997</v>
      </c>
      <c r="H69" s="42"/>
      <c r="I69" s="42"/>
      <c r="J69" s="42"/>
      <c r="K69" s="42"/>
      <c r="L69" s="41">
        <v>100</v>
      </c>
    </row>
    <row r="70" spans="1:12" ht="38.25">
      <c r="A70" s="39"/>
      <c r="B70" s="39"/>
      <c r="C70" s="39"/>
      <c r="D70" s="46" t="s">
        <v>487</v>
      </c>
      <c r="E70" s="41">
        <v>2020</v>
      </c>
      <c r="F70" s="50">
        <f>127508.5-0.5</f>
        <v>127508</v>
      </c>
      <c r="G70" s="50">
        <f>127508.5-0.5</f>
        <v>127508</v>
      </c>
      <c r="H70" s="42"/>
      <c r="I70" s="42"/>
      <c r="J70" s="42"/>
      <c r="K70" s="42"/>
      <c r="L70" s="41">
        <v>100</v>
      </c>
    </row>
    <row r="71" spans="1:12" ht="38.25">
      <c r="A71" s="39"/>
      <c r="B71" s="39"/>
      <c r="C71" s="39"/>
      <c r="D71" s="49" t="s">
        <v>488</v>
      </c>
      <c r="E71" s="41">
        <v>2020</v>
      </c>
      <c r="F71" s="50">
        <v>156414.29999999999</v>
      </c>
      <c r="G71" s="50">
        <v>156414.29999999999</v>
      </c>
      <c r="H71" s="42"/>
      <c r="I71" s="42"/>
      <c r="J71" s="42"/>
      <c r="K71" s="42"/>
      <c r="L71" s="41">
        <v>100</v>
      </c>
    </row>
    <row r="72" spans="1:12" ht="38.25">
      <c r="A72" s="39"/>
      <c r="B72" s="39"/>
      <c r="C72" s="39"/>
      <c r="D72" s="49" t="s">
        <v>490</v>
      </c>
      <c r="E72" s="41" t="s">
        <v>88</v>
      </c>
      <c r="F72" s="50">
        <v>306113</v>
      </c>
      <c r="G72" s="50">
        <v>306113</v>
      </c>
      <c r="H72" s="42"/>
      <c r="I72" s="42"/>
      <c r="J72" s="42"/>
      <c r="K72" s="42"/>
      <c r="L72" s="41">
        <v>100</v>
      </c>
    </row>
    <row r="73" spans="1:12" ht="38.25">
      <c r="A73" s="39"/>
      <c r="B73" s="39"/>
      <c r="C73" s="39"/>
      <c r="D73" s="46" t="s">
        <v>0</v>
      </c>
      <c r="E73" s="41">
        <v>2020</v>
      </c>
      <c r="F73" s="50">
        <v>186795</v>
      </c>
      <c r="G73" s="50">
        <v>186795</v>
      </c>
      <c r="H73" s="42"/>
      <c r="I73" s="42"/>
      <c r="J73" s="42"/>
      <c r="K73" s="42"/>
      <c r="L73" s="41">
        <v>100</v>
      </c>
    </row>
    <row r="74" spans="1:12" ht="51">
      <c r="A74" s="39"/>
      <c r="B74" s="39"/>
      <c r="C74" s="39"/>
      <c r="D74" s="46" t="s">
        <v>1</v>
      </c>
      <c r="E74" s="41">
        <v>2020</v>
      </c>
      <c r="F74" s="50">
        <v>93296.85</v>
      </c>
      <c r="G74" s="50">
        <v>93296.85</v>
      </c>
      <c r="H74" s="42"/>
      <c r="I74" s="42"/>
      <c r="J74" s="42"/>
      <c r="K74" s="42"/>
      <c r="L74" s="41">
        <v>100</v>
      </c>
    </row>
    <row r="75" spans="1:12" ht="51">
      <c r="A75" s="39"/>
      <c r="B75" s="39"/>
      <c r="C75" s="39"/>
      <c r="D75" s="46" t="s">
        <v>2</v>
      </c>
      <c r="E75" s="41">
        <v>2020</v>
      </c>
      <c r="F75" s="50">
        <v>112647.1</v>
      </c>
      <c r="G75" s="50">
        <v>112647.1</v>
      </c>
      <c r="H75" s="42"/>
      <c r="I75" s="42"/>
      <c r="J75" s="42"/>
      <c r="K75" s="42"/>
      <c r="L75" s="41">
        <v>100</v>
      </c>
    </row>
    <row r="76" spans="1:12" ht="51">
      <c r="A76" s="39"/>
      <c r="B76" s="39"/>
      <c r="C76" s="39"/>
      <c r="D76" s="40" t="s">
        <v>3</v>
      </c>
      <c r="E76" s="41">
        <v>2020</v>
      </c>
      <c r="F76" s="50">
        <v>76033.3</v>
      </c>
      <c r="G76" s="50">
        <v>76033.3</v>
      </c>
      <c r="H76" s="42"/>
      <c r="I76" s="42"/>
      <c r="J76" s="42"/>
      <c r="K76" s="42"/>
      <c r="L76" s="41">
        <v>100</v>
      </c>
    </row>
    <row r="77" spans="1:12" ht="25.5">
      <c r="A77" s="39"/>
      <c r="B77" s="39"/>
      <c r="C77" s="39"/>
      <c r="D77" s="40" t="s">
        <v>4</v>
      </c>
      <c r="E77" s="41">
        <v>2020</v>
      </c>
      <c r="F77" s="50">
        <f>61100</f>
        <v>61100</v>
      </c>
      <c r="G77" s="50">
        <f>61100</f>
        <v>61100</v>
      </c>
      <c r="H77" s="42"/>
      <c r="I77" s="42"/>
      <c r="J77" s="42"/>
      <c r="K77" s="42"/>
      <c r="L77" s="41">
        <v>100</v>
      </c>
    </row>
    <row r="78" spans="1:12" ht="12.75">
      <c r="A78" s="39"/>
      <c r="B78" s="39"/>
      <c r="C78" s="39"/>
      <c r="D78" s="40"/>
      <c r="E78" s="41"/>
      <c r="F78" s="42"/>
      <c r="G78" s="50"/>
      <c r="H78" s="42"/>
      <c r="I78" s="42"/>
      <c r="J78" s="42"/>
      <c r="K78" s="42"/>
      <c r="L78" s="39"/>
    </row>
    <row r="79" spans="1:12" ht="25.5">
      <c r="A79" s="39"/>
      <c r="B79" s="39"/>
      <c r="C79" s="39"/>
      <c r="D79" s="40" t="s">
        <v>183</v>
      </c>
      <c r="E79" s="41">
        <v>2021</v>
      </c>
      <c r="F79" s="50">
        <f>34925</f>
        <v>34925</v>
      </c>
      <c r="G79" s="50"/>
      <c r="H79" s="50">
        <f>34925</f>
        <v>34925</v>
      </c>
      <c r="I79" s="42"/>
      <c r="J79" s="42"/>
      <c r="K79" s="42"/>
      <c r="L79" s="41">
        <v>100</v>
      </c>
    </row>
    <row r="80" spans="1:12" ht="38.25">
      <c r="A80" s="39"/>
      <c r="B80" s="39"/>
      <c r="C80" s="39"/>
      <c r="D80" s="40" t="s">
        <v>184</v>
      </c>
      <c r="E80" s="41">
        <v>2021</v>
      </c>
      <c r="F80" s="50">
        <f>34875</f>
        <v>34875</v>
      </c>
      <c r="G80" s="50"/>
      <c r="H80" s="50">
        <f>34875</f>
        <v>34875</v>
      </c>
      <c r="I80" s="42"/>
      <c r="J80" s="42"/>
      <c r="K80" s="42"/>
      <c r="L80" s="41">
        <v>100</v>
      </c>
    </row>
    <row r="81" spans="1:12" ht="25.5">
      <c r="A81" s="39"/>
      <c r="B81" s="39"/>
      <c r="C81" s="39"/>
      <c r="D81" s="40" t="s">
        <v>185</v>
      </c>
      <c r="E81" s="41">
        <v>2021</v>
      </c>
      <c r="F81" s="42">
        <f>34894</f>
        <v>34894</v>
      </c>
      <c r="G81" s="50"/>
      <c r="H81" s="42">
        <f>34894</f>
        <v>34894</v>
      </c>
      <c r="I81" s="42"/>
      <c r="J81" s="42"/>
      <c r="K81" s="42"/>
      <c r="L81" s="41">
        <v>100</v>
      </c>
    </row>
    <row r="82" spans="1:12" ht="25.5">
      <c r="A82" s="39"/>
      <c r="B82" s="39"/>
      <c r="C82" s="39"/>
      <c r="D82" s="40" t="s">
        <v>473</v>
      </c>
      <c r="E82" s="41">
        <v>2021</v>
      </c>
      <c r="F82" s="42">
        <f>88224</f>
        <v>88224</v>
      </c>
      <c r="G82" s="50"/>
      <c r="H82" s="42">
        <f>88224</f>
        <v>88224</v>
      </c>
      <c r="I82" s="42"/>
      <c r="J82" s="42"/>
      <c r="K82" s="42"/>
      <c r="L82" s="41">
        <v>100</v>
      </c>
    </row>
    <row r="83" spans="1:12" ht="25.5">
      <c r="A83" s="39"/>
      <c r="B83" s="39"/>
      <c r="C83" s="39"/>
      <c r="D83" s="40" t="s">
        <v>475</v>
      </c>
      <c r="E83" s="41">
        <v>2021</v>
      </c>
      <c r="F83" s="42">
        <f>254950</f>
        <v>254950</v>
      </c>
      <c r="G83" s="50"/>
      <c r="H83" s="42">
        <f>254950</f>
        <v>254950</v>
      </c>
      <c r="I83" s="42"/>
      <c r="J83" s="42"/>
      <c r="K83" s="42"/>
      <c r="L83" s="41">
        <v>100</v>
      </c>
    </row>
    <row r="84" spans="1:12" ht="25.5">
      <c r="A84" s="39"/>
      <c r="B84" s="39"/>
      <c r="C84" s="39"/>
      <c r="D84" s="40" t="s">
        <v>476</v>
      </c>
      <c r="E84" s="41">
        <v>2021</v>
      </c>
      <c r="F84" s="42">
        <f>68288</f>
        <v>68288</v>
      </c>
      <c r="G84" s="50"/>
      <c r="H84" s="42">
        <f>68288</f>
        <v>68288</v>
      </c>
      <c r="I84" s="42"/>
      <c r="J84" s="42"/>
      <c r="K84" s="42"/>
      <c r="L84" s="41">
        <v>100</v>
      </c>
    </row>
    <row r="85" spans="1:12" ht="51">
      <c r="A85" s="39"/>
      <c r="B85" s="39"/>
      <c r="C85" s="39"/>
      <c r="D85" s="40" t="s">
        <v>478</v>
      </c>
      <c r="E85" s="41">
        <v>2021</v>
      </c>
      <c r="F85" s="50">
        <v>207806</v>
      </c>
      <c r="G85" s="50"/>
      <c r="H85" s="50">
        <v>207806</v>
      </c>
      <c r="I85" s="42"/>
      <c r="J85" s="42"/>
      <c r="K85" s="42"/>
      <c r="L85" s="41">
        <v>100</v>
      </c>
    </row>
    <row r="86" spans="1:12" ht="38.25">
      <c r="A86" s="39"/>
      <c r="B86" s="39"/>
      <c r="C86" s="39"/>
      <c r="D86" s="40" t="s">
        <v>479</v>
      </c>
      <c r="E86" s="41">
        <v>2021</v>
      </c>
      <c r="F86" s="50">
        <f>67007</f>
        <v>67007</v>
      </c>
      <c r="G86" s="50"/>
      <c r="H86" s="50">
        <f>67007</f>
        <v>67007</v>
      </c>
      <c r="I86" s="42"/>
      <c r="J86" s="42"/>
      <c r="K86" s="42"/>
      <c r="L86" s="41">
        <v>100</v>
      </c>
    </row>
    <row r="87" spans="1:12" ht="38.25">
      <c r="A87" s="39"/>
      <c r="B87" s="39"/>
      <c r="C87" s="39"/>
      <c r="D87" s="40" t="s">
        <v>37</v>
      </c>
      <c r="E87" s="41">
        <v>2021</v>
      </c>
      <c r="F87" s="50">
        <f>107217</f>
        <v>107217</v>
      </c>
      <c r="G87" s="50"/>
      <c r="H87" s="50">
        <f>107217</f>
        <v>107217</v>
      </c>
      <c r="I87" s="42"/>
      <c r="J87" s="42"/>
      <c r="K87" s="42"/>
      <c r="L87" s="41">
        <v>100</v>
      </c>
    </row>
    <row r="88" spans="1:12" ht="38.25">
      <c r="A88" s="39"/>
      <c r="B88" s="39"/>
      <c r="C88" s="39"/>
      <c r="D88" s="40" t="s">
        <v>480</v>
      </c>
      <c r="E88" s="41">
        <v>2021</v>
      </c>
      <c r="F88" s="50">
        <f>139335</f>
        <v>139335</v>
      </c>
      <c r="G88" s="50"/>
      <c r="H88" s="50">
        <f>139335</f>
        <v>139335</v>
      </c>
      <c r="I88" s="42"/>
      <c r="J88" s="42"/>
      <c r="K88" s="42"/>
      <c r="L88" s="41">
        <v>100</v>
      </c>
    </row>
    <row r="89" spans="1:12" ht="51">
      <c r="A89" s="39"/>
      <c r="B89" s="39"/>
      <c r="C89" s="39"/>
      <c r="D89" s="40" t="s">
        <v>481</v>
      </c>
      <c r="E89" s="41">
        <v>2021</v>
      </c>
      <c r="F89" s="50">
        <f>209474</f>
        <v>209474</v>
      </c>
      <c r="G89" s="50"/>
      <c r="H89" s="50">
        <f>209474</f>
        <v>209474</v>
      </c>
      <c r="I89" s="42"/>
      <c r="J89" s="42"/>
      <c r="K89" s="42"/>
      <c r="L89" s="41">
        <v>100</v>
      </c>
    </row>
    <row r="90" spans="1:12" ht="49.5" customHeight="1">
      <c r="A90" s="39"/>
      <c r="B90" s="39"/>
      <c r="C90" s="39"/>
      <c r="D90" s="40" t="s">
        <v>486</v>
      </c>
      <c r="E90" s="41">
        <v>2021</v>
      </c>
      <c r="F90" s="50">
        <f>132289</f>
        <v>132289</v>
      </c>
      <c r="G90" s="50"/>
      <c r="H90" s="50">
        <f>132289</f>
        <v>132289</v>
      </c>
      <c r="I90" s="42"/>
      <c r="J90" s="42"/>
      <c r="K90" s="42"/>
      <c r="L90" s="41">
        <v>100</v>
      </c>
    </row>
    <row r="91" spans="1:12" ht="38.25">
      <c r="A91" s="39"/>
      <c r="B91" s="39"/>
      <c r="C91" s="39"/>
      <c r="D91" s="40" t="s">
        <v>488</v>
      </c>
      <c r="E91" s="41">
        <v>2021</v>
      </c>
      <c r="F91" s="50">
        <f>156415</f>
        <v>156415</v>
      </c>
      <c r="G91" s="50"/>
      <c r="H91" s="50">
        <f>156415</f>
        <v>156415</v>
      </c>
      <c r="I91" s="42"/>
      <c r="J91" s="42"/>
      <c r="K91" s="42"/>
      <c r="L91" s="41">
        <v>100</v>
      </c>
    </row>
    <row r="92" spans="1:12" ht="38.25">
      <c r="A92" s="39"/>
      <c r="B92" s="39"/>
      <c r="C92" s="39"/>
      <c r="D92" s="40" t="s">
        <v>489</v>
      </c>
      <c r="E92" s="41">
        <v>2021</v>
      </c>
      <c r="F92" s="50">
        <f>398509</f>
        <v>398509</v>
      </c>
      <c r="G92" s="50"/>
      <c r="H92" s="50">
        <f>398509</f>
        <v>398509</v>
      </c>
      <c r="I92" s="42"/>
      <c r="J92" s="42"/>
      <c r="K92" s="42"/>
      <c r="L92" s="41">
        <v>100</v>
      </c>
    </row>
    <row r="93" spans="1:12" ht="38.25">
      <c r="A93" s="39"/>
      <c r="B93" s="39"/>
      <c r="C93" s="39"/>
      <c r="D93" s="40" t="s">
        <v>490</v>
      </c>
      <c r="E93" s="41"/>
      <c r="F93" s="50">
        <f>271770</f>
        <v>271770</v>
      </c>
      <c r="G93" s="50"/>
      <c r="H93" s="50">
        <f>271770</f>
        <v>271770</v>
      </c>
      <c r="I93" s="42"/>
      <c r="J93" s="42"/>
      <c r="K93" s="42"/>
      <c r="L93" s="41">
        <v>100</v>
      </c>
    </row>
    <row r="94" spans="1:12" ht="63.75">
      <c r="A94" s="39"/>
      <c r="B94" s="39"/>
      <c r="C94" s="39"/>
      <c r="D94" s="40" t="s">
        <v>38</v>
      </c>
      <c r="E94" s="41">
        <v>2021</v>
      </c>
      <c r="F94" s="50">
        <f>182035</f>
        <v>182035</v>
      </c>
      <c r="G94" s="50"/>
      <c r="H94" s="50">
        <f>182035</f>
        <v>182035</v>
      </c>
      <c r="I94" s="42"/>
      <c r="J94" s="42"/>
      <c r="K94" s="42"/>
      <c r="L94" s="41">
        <v>100</v>
      </c>
    </row>
    <row r="95" spans="1:12" ht="38.25">
      <c r="A95" s="39"/>
      <c r="B95" s="39"/>
      <c r="C95" s="39"/>
      <c r="D95" s="40" t="s">
        <v>186</v>
      </c>
      <c r="E95" s="41">
        <v>2021</v>
      </c>
      <c r="F95" s="50">
        <f>104349</f>
        <v>104349</v>
      </c>
      <c r="G95" s="50"/>
      <c r="H95" s="50">
        <f>104349</f>
        <v>104349</v>
      </c>
      <c r="I95" s="42"/>
      <c r="J95" s="42"/>
      <c r="K95" s="42"/>
      <c r="L95" s="41">
        <v>100</v>
      </c>
    </row>
    <row r="96" spans="1:12" ht="39.75" customHeight="1">
      <c r="A96" s="39"/>
      <c r="B96" s="39"/>
      <c r="C96" s="39"/>
      <c r="D96" s="40" t="s">
        <v>187</v>
      </c>
      <c r="E96" s="41">
        <v>2021</v>
      </c>
      <c r="F96" s="50">
        <f>90909</f>
        <v>90909</v>
      </c>
      <c r="G96" s="50"/>
      <c r="H96" s="50">
        <f>90909</f>
        <v>90909</v>
      </c>
      <c r="I96" s="42"/>
      <c r="J96" s="42"/>
      <c r="K96" s="42"/>
      <c r="L96" s="41">
        <v>100</v>
      </c>
    </row>
    <row r="97" spans="1:12" ht="51">
      <c r="A97" s="39"/>
      <c r="B97" s="39"/>
      <c r="C97" s="39"/>
      <c r="D97" s="40" t="s">
        <v>188</v>
      </c>
      <c r="E97" s="41">
        <v>2021</v>
      </c>
      <c r="F97" s="50">
        <f>90231</f>
        <v>90231</v>
      </c>
      <c r="G97" s="50"/>
      <c r="H97" s="50">
        <f>90231</f>
        <v>90231</v>
      </c>
      <c r="I97" s="42"/>
      <c r="J97" s="42"/>
      <c r="K97" s="42"/>
      <c r="L97" s="41">
        <v>100</v>
      </c>
    </row>
    <row r="98" spans="1:12" ht="50.25" customHeight="1">
      <c r="A98" s="39"/>
      <c r="B98" s="39"/>
      <c r="C98" s="39"/>
      <c r="D98" s="40" t="s">
        <v>189</v>
      </c>
      <c r="E98" s="41">
        <v>2021</v>
      </c>
      <c r="F98" s="50">
        <f>53452</f>
        <v>53452</v>
      </c>
      <c r="G98" s="50"/>
      <c r="H98" s="50">
        <f>53452</f>
        <v>53452</v>
      </c>
      <c r="I98" s="42"/>
      <c r="J98" s="42"/>
      <c r="K98" s="42"/>
      <c r="L98" s="41">
        <v>100</v>
      </c>
    </row>
    <row r="99" spans="1:12" ht="38.25">
      <c r="A99" s="39"/>
      <c r="B99" s="39"/>
      <c r="C99" s="39"/>
      <c r="D99" s="40" t="s">
        <v>190</v>
      </c>
      <c r="E99" s="41">
        <v>2021</v>
      </c>
      <c r="F99" s="50">
        <f>171722</f>
        <v>171722</v>
      </c>
      <c r="G99" s="50"/>
      <c r="H99" s="50">
        <f>171722</f>
        <v>171722</v>
      </c>
      <c r="I99" s="42"/>
      <c r="J99" s="42"/>
      <c r="K99" s="42"/>
      <c r="L99" s="41">
        <v>100</v>
      </c>
    </row>
    <row r="100" spans="1:12" ht="38.25">
      <c r="A100" s="39"/>
      <c r="B100" s="39"/>
      <c r="C100" s="39"/>
      <c r="D100" s="40" t="s">
        <v>191</v>
      </c>
      <c r="E100" s="41">
        <v>2021</v>
      </c>
      <c r="F100" s="50">
        <f>171983</f>
        <v>171983</v>
      </c>
      <c r="G100" s="50"/>
      <c r="H100" s="50">
        <f>171983</f>
        <v>171983</v>
      </c>
      <c r="I100" s="42"/>
      <c r="J100" s="42"/>
      <c r="K100" s="42"/>
      <c r="L100" s="41">
        <v>100</v>
      </c>
    </row>
    <row r="101" spans="1:12" ht="38.25">
      <c r="A101" s="39"/>
      <c r="B101" s="39"/>
      <c r="C101" s="39"/>
      <c r="D101" s="40" t="s">
        <v>192</v>
      </c>
      <c r="E101" s="41">
        <v>2021</v>
      </c>
      <c r="F101" s="50">
        <f>147000</f>
        <v>147000</v>
      </c>
      <c r="G101" s="50"/>
      <c r="H101" s="50">
        <f>147000</f>
        <v>147000</v>
      </c>
      <c r="I101" s="42"/>
      <c r="J101" s="42"/>
      <c r="K101" s="42"/>
      <c r="L101" s="41">
        <v>100</v>
      </c>
    </row>
    <row r="102" spans="1:12" ht="30" customHeight="1">
      <c r="A102" s="39"/>
      <c r="B102" s="39"/>
      <c r="C102" s="39"/>
      <c r="D102" s="40" t="s">
        <v>5</v>
      </c>
      <c r="E102" s="41">
        <v>2021</v>
      </c>
      <c r="F102" s="50">
        <f>290815</f>
        <v>290815</v>
      </c>
      <c r="G102" s="43"/>
      <c r="H102" s="50">
        <f>290815</f>
        <v>290815</v>
      </c>
      <c r="I102" s="42"/>
      <c r="J102" s="42"/>
      <c r="K102" s="42"/>
      <c r="L102" s="41">
        <v>100</v>
      </c>
    </row>
    <row r="103" spans="1:12" ht="12.75">
      <c r="A103" s="39"/>
      <c r="B103" s="39"/>
      <c r="C103" s="39"/>
      <c r="D103" s="40"/>
      <c r="E103" s="41"/>
      <c r="F103" s="42"/>
      <c r="G103" s="43"/>
      <c r="H103" s="42"/>
      <c r="I103" s="42"/>
      <c r="J103" s="42"/>
      <c r="K103" s="42"/>
      <c r="L103" s="39"/>
    </row>
    <row r="104" spans="1:12" ht="63" customHeight="1">
      <c r="A104" s="33" t="s">
        <v>193</v>
      </c>
      <c r="B104" s="57">
        <v>6082</v>
      </c>
      <c r="C104" s="44" t="s">
        <v>194</v>
      </c>
      <c r="D104" s="40"/>
      <c r="E104" s="41"/>
      <c r="F104" s="52">
        <f t="shared" ref="F104:K104" si="8">SUM(F105)</f>
        <v>250000</v>
      </c>
      <c r="G104" s="52">
        <f t="shared" si="8"/>
        <v>0</v>
      </c>
      <c r="H104" s="52">
        <f t="shared" si="8"/>
        <v>250000</v>
      </c>
      <c r="I104" s="52">
        <f t="shared" si="8"/>
        <v>0</v>
      </c>
      <c r="J104" s="52">
        <f t="shared" si="8"/>
        <v>0</v>
      </c>
      <c r="K104" s="52">
        <f t="shared" si="8"/>
        <v>0</v>
      </c>
      <c r="L104" s="39"/>
    </row>
    <row r="105" spans="1:12" ht="33" customHeight="1">
      <c r="A105" s="39"/>
      <c r="B105" s="39"/>
      <c r="C105" s="39"/>
      <c r="D105" s="56" t="s">
        <v>195</v>
      </c>
      <c r="E105" s="41"/>
      <c r="F105" s="45">
        <f>F106</f>
        <v>250000</v>
      </c>
      <c r="G105" s="45"/>
      <c r="H105" s="45">
        <f>H106</f>
        <v>250000</v>
      </c>
      <c r="I105" s="42"/>
      <c r="J105" s="42"/>
      <c r="K105" s="42"/>
      <c r="L105" s="39"/>
    </row>
    <row r="106" spans="1:12" ht="20.25" customHeight="1">
      <c r="A106" s="39"/>
      <c r="B106" s="39"/>
      <c r="C106" s="39"/>
      <c r="D106" s="58" t="s">
        <v>196</v>
      </c>
      <c r="E106" s="41">
        <v>2021</v>
      </c>
      <c r="F106" s="42">
        <v>250000</v>
      </c>
      <c r="G106" s="43"/>
      <c r="H106" s="43">
        <f>250000</f>
        <v>250000</v>
      </c>
      <c r="I106" s="42"/>
      <c r="J106" s="42"/>
      <c r="K106" s="42"/>
      <c r="L106" s="41">
        <v>100</v>
      </c>
    </row>
    <row r="107" spans="1:12" ht="12.75">
      <c r="A107" s="39"/>
      <c r="B107" s="39"/>
      <c r="C107" s="39"/>
      <c r="D107" s="40"/>
      <c r="E107" s="41"/>
      <c r="F107" s="42"/>
      <c r="G107" s="43"/>
      <c r="H107" s="42"/>
      <c r="I107" s="42"/>
      <c r="J107" s="42"/>
      <c r="K107" s="42"/>
      <c r="L107" s="39"/>
    </row>
    <row r="108" spans="1:12" ht="37.5" customHeight="1">
      <c r="A108" s="33" t="s">
        <v>6</v>
      </c>
      <c r="B108" s="57">
        <v>7321</v>
      </c>
      <c r="C108" s="55" t="s">
        <v>7</v>
      </c>
      <c r="D108" s="39"/>
      <c r="E108" s="41"/>
      <c r="F108" s="52">
        <f t="shared" ref="F108:K108" si="9">SUM(F109:F119)</f>
        <v>29678873</v>
      </c>
      <c r="G108" s="52">
        <f t="shared" si="9"/>
        <v>596122.86999999988</v>
      </c>
      <c r="H108" s="52">
        <f t="shared" si="9"/>
        <v>897329</v>
      </c>
      <c r="I108" s="52">
        <f t="shared" si="9"/>
        <v>843708</v>
      </c>
      <c r="J108" s="52">
        <f t="shared" si="9"/>
        <v>1000000</v>
      </c>
      <c r="K108" s="52">
        <f t="shared" si="9"/>
        <v>1000000</v>
      </c>
      <c r="L108" s="39"/>
    </row>
    <row r="109" spans="1:12" ht="87.75" customHeight="1">
      <c r="A109" s="39"/>
      <c r="B109" s="39"/>
      <c r="C109" s="39"/>
      <c r="D109" s="59" t="s">
        <v>68</v>
      </c>
      <c r="E109" s="41" t="s">
        <v>318</v>
      </c>
      <c r="F109" s="42">
        <v>21970846</v>
      </c>
      <c r="G109" s="50">
        <v>283845.33</v>
      </c>
      <c r="H109" s="42">
        <v>549950</v>
      </c>
      <c r="I109" s="42">
        <v>843708</v>
      </c>
      <c r="J109" s="42">
        <v>1000000</v>
      </c>
      <c r="K109" s="42">
        <v>1000000</v>
      </c>
      <c r="L109" s="41">
        <v>60</v>
      </c>
    </row>
    <row r="110" spans="1:12" ht="40.5" customHeight="1">
      <c r="A110" s="39"/>
      <c r="B110" s="39"/>
      <c r="C110" s="39"/>
      <c r="D110" s="59" t="s">
        <v>197</v>
      </c>
      <c r="E110" s="41" t="s">
        <v>88</v>
      </c>
      <c r="F110" s="42">
        <v>75767</v>
      </c>
      <c r="G110" s="50">
        <v>4263.16</v>
      </c>
      <c r="H110" s="42">
        <v>66231</v>
      </c>
      <c r="I110" s="42"/>
      <c r="J110" s="42"/>
      <c r="K110" s="42"/>
      <c r="L110" s="41">
        <v>93</v>
      </c>
    </row>
    <row r="111" spans="1:12" ht="38.25">
      <c r="A111" s="39"/>
      <c r="B111" s="39"/>
      <c r="C111" s="39"/>
      <c r="D111" s="59" t="s">
        <v>8</v>
      </c>
      <c r="E111" s="41" t="s">
        <v>88</v>
      </c>
      <c r="F111" s="42">
        <v>117138</v>
      </c>
      <c r="G111" s="50">
        <v>4263.16</v>
      </c>
      <c r="H111" s="42">
        <v>110000</v>
      </c>
      <c r="I111" s="42"/>
      <c r="J111" s="42"/>
      <c r="K111" s="42"/>
      <c r="L111" s="41">
        <v>98</v>
      </c>
    </row>
    <row r="112" spans="1:12" ht="38.25">
      <c r="A112" s="39"/>
      <c r="B112" s="39"/>
      <c r="C112" s="39"/>
      <c r="D112" s="40" t="s">
        <v>9</v>
      </c>
      <c r="E112" s="41" t="s">
        <v>482</v>
      </c>
      <c r="F112" s="42">
        <v>1465523</v>
      </c>
      <c r="G112" s="50">
        <f>29050</f>
        <v>29050</v>
      </c>
      <c r="H112" s="42"/>
      <c r="I112" s="42"/>
      <c r="J112" s="42"/>
      <c r="K112" s="42"/>
      <c r="L112" s="41">
        <v>3</v>
      </c>
    </row>
    <row r="113" spans="1:12" ht="38.25">
      <c r="A113" s="39"/>
      <c r="B113" s="39"/>
      <c r="C113" s="39"/>
      <c r="D113" s="59" t="s">
        <v>10</v>
      </c>
      <c r="E113" s="41" t="s">
        <v>88</v>
      </c>
      <c r="F113" s="42">
        <v>122728</v>
      </c>
      <c r="G113" s="50">
        <v>4263.16</v>
      </c>
      <c r="H113" s="42">
        <v>110148</v>
      </c>
      <c r="I113" s="42"/>
      <c r="J113" s="42"/>
      <c r="K113" s="42"/>
      <c r="L113" s="41">
        <v>93</v>
      </c>
    </row>
    <row r="114" spans="1:12" ht="29.25" customHeight="1">
      <c r="A114" s="39"/>
      <c r="B114" s="39"/>
      <c r="C114" s="39"/>
      <c r="D114" s="40" t="s">
        <v>11</v>
      </c>
      <c r="E114" s="41" t="s">
        <v>482</v>
      </c>
      <c r="F114" s="42">
        <v>1455774</v>
      </c>
      <c r="G114" s="50">
        <f>22386</f>
        <v>22386</v>
      </c>
      <c r="H114" s="42"/>
      <c r="I114" s="42"/>
      <c r="J114" s="42"/>
      <c r="K114" s="42"/>
      <c r="L114" s="41">
        <v>2</v>
      </c>
    </row>
    <row r="115" spans="1:12" ht="31.5" customHeight="1">
      <c r="A115" s="39"/>
      <c r="B115" s="39"/>
      <c r="C115" s="39"/>
      <c r="D115" s="40" t="s">
        <v>13</v>
      </c>
      <c r="E115" s="41" t="s">
        <v>482</v>
      </c>
      <c r="F115" s="42">
        <v>1449040</v>
      </c>
      <c r="G115" s="50">
        <f>22386</f>
        <v>22386</v>
      </c>
      <c r="H115" s="42"/>
      <c r="I115" s="42"/>
      <c r="J115" s="42"/>
      <c r="K115" s="42"/>
      <c r="L115" s="41">
        <v>2</v>
      </c>
    </row>
    <row r="116" spans="1:12" ht="30" customHeight="1">
      <c r="A116" s="39"/>
      <c r="B116" s="39"/>
      <c r="C116" s="39"/>
      <c r="D116" s="59" t="s">
        <v>12</v>
      </c>
      <c r="E116" s="41" t="s">
        <v>88</v>
      </c>
      <c r="F116" s="42">
        <v>64586</v>
      </c>
      <c r="G116" s="50"/>
      <c r="H116" s="42">
        <v>61000</v>
      </c>
      <c r="I116" s="42"/>
      <c r="J116" s="42"/>
      <c r="K116" s="42"/>
      <c r="L116" s="41">
        <v>94</v>
      </c>
    </row>
    <row r="117" spans="1:12" ht="39.75" customHeight="1">
      <c r="A117" s="39"/>
      <c r="B117" s="39"/>
      <c r="C117" s="39"/>
      <c r="D117" s="40" t="s">
        <v>14</v>
      </c>
      <c r="E117" s="41" t="s">
        <v>482</v>
      </c>
      <c r="F117" s="42">
        <v>1459134</v>
      </c>
      <c r="G117" s="50">
        <v>22386</v>
      </c>
      <c r="H117" s="42"/>
      <c r="I117" s="42"/>
      <c r="J117" s="42"/>
      <c r="K117" s="42"/>
      <c r="L117" s="41">
        <v>2</v>
      </c>
    </row>
    <row r="118" spans="1:12" ht="12.75">
      <c r="A118" s="39"/>
      <c r="B118" s="39"/>
      <c r="C118" s="39"/>
      <c r="D118" s="39"/>
      <c r="E118" s="41"/>
      <c r="F118" s="42"/>
      <c r="G118" s="42"/>
      <c r="H118" s="42"/>
      <c r="I118" s="42"/>
      <c r="J118" s="42"/>
      <c r="K118" s="42"/>
      <c r="L118" s="39"/>
    </row>
    <row r="119" spans="1:12" ht="42.75" customHeight="1">
      <c r="A119" s="39"/>
      <c r="B119" s="39"/>
      <c r="C119" s="39"/>
      <c r="D119" s="40" t="s">
        <v>15</v>
      </c>
      <c r="E119" s="41" t="s">
        <v>482</v>
      </c>
      <c r="F119" s="42">
        <v>1498337</v>
      </c>
      <c r="G119" s="50">
        <v>203280.06</v>
      </c>
      <c r="H119" s="42"/>
      <c r="I119" s="42"/>
      <c r="J119" s="42"/>
      <c r="K119" s="42"/>
      <c r="L119" s="41">
        <v>44</v>
      </c>
    </row>
    <row r="120" spans="1:12" ht="12.75">
      <c r="A120" s="39"/>
      <c r="B120" s="39"/>
      <c r="C120" s="39"/>
      <c r="D120" s="39"/>
      <c r="E120" s="41"/>
      <c r="F120" s="42"/>
      <c r="G120" s="42"/>
      <c r="H120" s="42"/>
      <c r="I120" s="42"/>
      <c r="J120" s="42"/>
      <c r="K120" s="42"/>
      <c r="L120" s="39"/>
    </row>
    <row r="121" spans="1:12" ht="38.25">
      <c r="A121" s="33" t="s">
        <v>16</v>
      </c>
      <c r="B121" s="51" t="s">
        <v>17</v>
      </c>
      <c r="C121" s="44" t="s">
        <v>18</v>
      </c>
      <c r="D121" s="39"/>
      <c r="E121" s="41"/>
      <c r="F121" s="52">
        <f t="shared" ref="F121:K121" si="10">SUM(F122:F125)</f>
        <v>34258517</v>
      </c>
      <c r="G121" s="52">
        <f t="shared" si="10"/>
        <v>54755</v>
      </c>
      <c r="H121" s="52">
        <f t="shared" si="10"/>
        <v>1550000</v>
      </c>
      <c r="I121" s="52">
        <f t="shared" si="10"/>
        <v>500000</v>
      </c>
      <c r="J121" s="52">
        <f t="shared" si="10"/>
        <v>1000000</v>
      </c>
      <c r="K121" s="52">
        <f t="shared" si="10"/>
        <v>2400000</v>
      </c>
      <c r="L121" s="39"/>
    </row>
    <row r="122" spans="1:12" ht="38.25">
      <c r="A122" s="39"/>
      <c r="B122" s="39"/>
      <c r="C122" s="39"/>
      <c r="D122" s="46" t="s">
        <v>198</v>
      </c>
      <c r="E122" s="41" t="s">
        <v>88</v>
      </c>
      <c r="F122" s="42">
        <v>1487441</v>
      </c>
      <c r="G122" s="43">
        <v>54755</v>
      </c>
      <c r="H122" s="43">
        <f>450000</f>
        <v>450000</v>
      </c>
      <c r="I122" s="42"/>
      <c r="J122" s="42"/>
      <c r="K122" s="42"/>
      <c r="L122" s="41">
        <v>34</v>
      </c>
    </row>
    <row r="123" spans="1:12" ht="25.5">
      <c r="A123" s="39"/>
      <c r="B123" s="39"/>
      <c r="C123" s="39"/>
      <c r="D123" s="40" t="s">
        <v>58</v>
      </c>
      <c r="E123" s="41">
        <v>2021</v>
      </c>
      <c r="F123" s="42">
        <v>10189434</v>
      </c>
      <c r="G123" s="43"/>
      <c r="H123" s="43">
        <f>100000</f>
        <v>100000</v>
      </c>
      <c r="I123" s="42"/>
      <c r="J123" s="42"/>
      <c r="K123" s="42"/>
      <c r="L123" s="41">
        <v>1</v>
      </c>
    </row>
    <row r="124" spans="1:12" ht="12.75">
      <c r="A124" s="39"/>
      <c r="B124" s="39"/>
      <c r="C124" s="39"/>
      <c r="D124" s="40"/>
      <c r="E124" s="41"/>
      <c r="F124" s="42"/>
      <c r="G124" s="43"/>
      <c r="H124" s="43"/>
      <c r="I124" s="42"/>
      <c r="J124" s="42"/>
      <c r="K124" s="42"/>
      <c r="L124" s="39"/>
    </row>
    <row r="125" spans="1:12" ht="38.25">
      <c r="A125" s="39"/>
      <c r="B125" s="39"/>
      <c r="C125" s="39"/>
      <c r="D125" s="40" t="s">
        <v>207</v>
      </c>
      <c r="E125" s="41" t="s">
        <v>80</v>
      </c>
      <c r="F125" s="42">
        <v>22581642</v>
      </c>
      <c r="G125" s="43"/>
      <c r="H125" s="43">
        <v>1000000</v>
      </c>
      <c r="I125" s="42">
        <v>500000</v>
      </c>
      <c r="J125" s="42">
        <v>1000000</v>
      </c>
      <c r="K125" s="42">
        <v>2400000</v>
      </c>
      <c r="L125" s="41">
        <v>22</v>
      </c>
    </row>
    <row r="126" spans="1:12" ht="12.75">
      <c r="A126" s="39"/>
      <c r="B126" s="39"/>
      <c r="C126" s="39"/>
      <c r="D126" s="39"/>
      <c r="E126" s="41"/>
      <c r="F126" s="42"/>
      <c r="G126" s="42"/>
      <c r="H126" s="42"/>
      <c r="I126" s="42"/>
      <c r="J126" s="42"/>
      <c r="K126" s="42"/>
      <c r="L126" s="39"/>
    </row>
    <row r="127" spans="1:12" ht="51">
      <c r="A127" s="33" t="s">
        <v>19</v>
      </c>
      <c r="B127" s="51" t="s">
        <v>20</v>
      </c>
      <c r="C127" s="44" t="s">
        <v>21</v>
      </c>
      <c r="D127" s="39"/>
      <c r="E127" s="41"/>
      <c r="F127" s="52">
        <f t="shared" ref="F127:K127" si="11">SUM(F128:F135)</f>
        <v>337339312</v>
      </c>
      <c r="G127" s="52">
        <f t="shared" si="11"/>
        <v>7347.9</v>
      </c>
      <c r="H127" s="52">
        <f t="shared" si="11"/>
        <v>14426569</v>
      </c>
      <c r="I127" s="52">
        <f t="shared" si="11"/>
        <v>6656292</v>
      </c>
      <c r="J127" s="52">
        <f t="shared" si="11"/>
        <v>6000000</v>
      </c>
      <c r="K127" s="52">
        <f t="shared" si="11"/>
        <v>7000000</v>
      </c>
      <c r="L127" s="39"/>
    </row>
    <row r="128" spans="1:12" ht="39.75" customHeight="1">
      <c r="A128" s="39"/>
      <c r="B128" s="39"/>
      <c r="C128" s="39"/>
      <c r="D128" s="40" t="s">
        <v>22</v>
      </c>
      <c r="E128" s="41" t="s">
        <v>318</v>
      </c>
      <c r="F128" s="42">
        <v>276841141</v>
      </c>
      <c r="G128" s="50">
        <v>7347.9</v>
      </c>
      <c r="H128" s="42">
        <v>5000000</v>
      </c>
      <c r="I128" s="42">
        <v>5000000</v>
      </c>
      <c r="J128" s="42">
        <v>5000000</v>
      </c>
      <c r="K128" s="42">
        <v>6000000</v>
      </c>
      <c r="L128" s="41">
        <v>39</v>
      </c>
    </row>
    <row r="129" spans="1:12" ht="25.5">
      <c r="A129" s="39"/>
      <c r="B129" s="39"/>
      <c r="C129" s="39"/>
      <c r="D129" s="40" t="s">
        <v>23</v>
      </c>
      <c r="E129" s="41" t="s">
        <v>235</v>
      </c>
      <c r="F129" s="42">
        <v>1451248</v>
      </c>
      <c r="G129" s="50"/>
      <c r="H129" s="50">
        <f>1131348</f>
        <v>1131348</v>
      </c>
      <c r="I129" s="42"/>
      <c r="J129" s="42"/>
      <c r="K129" s="42"/>
      <c r="L129" s="41">
        <v>78</v>
      </c>
    </row>
    <row r="130" spans="1:12" ht="42" customHeight="1">
      <c r="A130" s="39"/>
      <c r="B130" s="39"/>
      <c r="C130" s="39"/>
      <c r="D130" s="40" t="s">
        <v>24</v>
      </c>
      <c r="E130" s="41">
        <v>2021</v>
      </c>
      <c r="F130" s="42">
        <v>150000</v>
      </c>
      <c r="G130" s="50"/>
      <c r="H130" s="43">
        <f>150000</f>
        <v>150000</v>
      </c>
      <c r="I130" s="42"/>
      <c r="J130" s="42"/>
      <c r="K130" s="42"/>
      <c r="L130" s="41">
        <v>100</v>
      </c>
    </row>
    <row r="131" spans="1:12" ht="51">
      <c r="A131" s="39"/>
      <c r="B131" s="39"/>
      <c r="C131" s="39"/>
      <c r="D131" s="46" t="s">
        <v>199</v>
      </c>
      <c r="E131" s="41" t="s">
        <v>88</v>
      </c>
      <c r="F131" s="42">
        <v>36999301</v>
      </c>
      <c r="G131" s="50"/>
      <c r="H131" s="43">
        <f>1000000+6960221</f>
        <v>7960221</v>
      </c>
      <c r="I131" s="42"/>
      <c r="J131" s="42"/>
      <c r="K131" s="42"/>
      <c r="L131" s="41">
        <v>100</v>
      </c>
    </row>
    <row r="132" spans="1:12" ht="12.75">
      <c r="A132" s="39"/>
      <c r="B132" s="39"/>
      <c r="C132" s="39"/>
      <c r="D132" s="40"/>
      <c r="E132" s="41"/>
      <c r="F132" s="42"/>
      <c r="G132" s="50"/>
      <c r="H132" s="42"/>
      <c r="I132" s="42"/>
      <c r="J132" s="42"/>
      <c r="K132" s="42"/>
      <c r="L132" s="39"/>
    </row>
    <row r="133" spans="1:12" ht="56.25" customHeight="1">
      <c r="A133" s="39"/>
      <c r="B133" s="39"/>
      <c r="C133" s="39"/>
      <c r="D133" s="40" t="s">
        <v>200</v>
      </c>
      <c r="E133" s="41" t="s">
        <v>80</v>
      </c>
      <c r="F133" s="42">
        <v>16714025</v>
      </c>
      <c r="G133" s="50"/>
      <c r="H133" s="43">
        <f>80000+33000</f>
        <v>113000</v>
      </c>
      <c r="I133" s="42">
        <v>1656292</v>
      </c>
      <c r="J133" s="42">
        <v>1000000</v>
      </c>
      <c r="K133" s="42">
        <v>1000000</v>
      </c>
      <c r="L133" s="41">
        <v>23</v>
      </c>
    </row>
    <row r="134" spans="1:12" ht="45" customHeight="1">
      <c r="A134" s="39"/>
      <c r="B134" s="39"/>
      <c r="C134" s="39"/>
      <c r="D134" s="40" t="s">
        <v>201</v>
      </c>
      <c r="E134" s="41">
        <v>2021</v>
      </c>
      <c r="F134" s="42">
        <v>5183597</v>
      </c>
      <c r="G134" s="50"/>
      <c r="H134" s="43">
        <f>72000</f>
        <v>72000</v>
      </c>
      <c r="I134" s="42"/>
      <c r="J134" s="42"/>
      <c r="K134" s="42"/>
      <c r="L134" s="41">
        <v>1</v>
      </c>
    </row>
    <row r="135" spans="1:12" ht="12.75">
      <c r="A135" s="39"/>
      <c r="B135" s="39"/>
      <c r="C135" s="39"/>
      <c r="D135" s="39"/>
      <c r="E135" s="41"/>
      <c r="F135" s="42"/>
      <c r="G135" s="42"/>
      <c r="H135" s="42"/>
      <c r="I135" s="42"/>
      <c r="J135" s="42"/>
      <c r="K135" s="42"/>
      <c r="L135" s="39"/>
    </row>
    <row r="136" spans="1:12" ht="38.25">
      <c r="A136" s="33" t="s">
        <v>25</v>
      </c>
      <c r="B136" s="60">
        <v>7340</v>
      </c>
      <c r="C136" s="55" t="s">
        <v>26</v>
      </c>
      <c r="D136" s="39"/>
      <c r="E136" s="41"/>
      <c r="F136" s="52">
        <f t="shared" ref="F136:K136" si="12">SUM(F137:F141)</f>
        <v>91500000</v>
      </c>
      <c r="G136" s="52">
        <f t="shared" si="12"/>
        <v>38563</v>
      </c>
      <c r="H136" s="52">
        <f t="shared" si="12"/>
        <v>1040000</v>
      </c>
      <c r="I136" s="52">
        <f t="shared" si="12"/>
        <v>1400000</v>
      </c>
      <c r="J136" s="52">
        <f t="shared" si="12"/>
        <v>3600000</v>
      </c>
      <c r="K136" s="52">
        <f t="shared" si="12"/>
        <v>4600000</v>
      </c>
      <c r="L136" s="39"/>
    </row>
    <row r="137" spans="1:12" ht="25.5">
      <c r="A137" s="39"/>
      <c r="B137" s="39"/>
      <c r="C137" s="39"/>
      <c r="D137" s="59" t="s">
        <v>28</v>
      </c>
      <c r="E137" s="41" t="s">
        <v>224</v>
      </c>
      <c r="F137" s="42">
        <v>1500000</v>
      </c>
      <c r="G137" s="43">
        <f>38563</f>
        <v>38563</v>
      </c>
      <c r="H137" s="42"/>
      <c r="I137" s="42"/>
      <c r="J137" s="42"/>
      <c r="K137" s="42"/>
      <c r="L137" s="41">
        <v>100</v>
      </c>
    </row>
    <row r="138" spans="1:12" ht="38.25">
      <c r="A138" s="39"/>
      <c r="B138" s="39"/>
      <c r="C138" s="39"/>
      <c r="D138" s="40" t="s">
        <v>27</v>
      </c>
      <c r="E138" s="41" t="s">
        <v>204</v>
      </c>
      <c r="F138" s="42">
        <v>60000000</v>
      </c>
      <c r="G138" s="43"/>
      <c r="H138" s="42">
        <v>440000</v>
      </c>
      <c r="I138" s="42">
        <v>600000</v>
      </c>
      <c r="J138" s="42">
        <v>1500000</v>
      </c>
      <c r="K138" s="42">
        <v>1500000</v>
      </c>
      <c r="L138" s="61">
        <v>7</v>
      </c>
    </row>
    <row r="139" spans="1:12" ht="38.25">
      <c r="A139" s="39"/>
      <c r="B139" s="39"/>
      <c r="C139" s="39"/>
      <c r="D139" s="40" t="s">
        <v>202</v>
      </c>
      <c r="E139" s="41" t="s">
        <v>80</v>
      </c>
      <c r="F139" s="42">
        <v>15000000</v>
      </c>
      <c r="G139" s="43"/>
      <c r="H139" s="43">
        <f>500000</f>
        <v>500000</v>
      </c>
      <c r="I139" s="42">
        <v>400000</v>
      </c>
      <c r="J139" s="42">
        <v>1400000</v>
      </c>
      <c r="K139" s="42">
        <v>1600000</v>
      </c>
      <c r="L139" s="41">
        <v>26</v>
      </c>
    </row>
    <row r="140" spans="1:12" ht="38.25">
      <c r="A140" s="39"/>
      <c r="B140" s="39"/>
      <c r="C140" s="39"/>
      <c r="D140" s="40" t="s">
        <v>203</v>
      </c>
      <c r="E140" s="41" t="s">
        <v>80</v>
      </c>
      <c r="F140" s="42">
        <v>15000000</v>
      </c>
      <c r="G140" s="43"/>
      <c r="H140" s="43">
        <f>100000</f>
        <v>100000</v>
      </c>
      <c r="I140" s="42">
        <v>400000</v>
      </c>
      <c r="J140" s="42">
        <v>700000</v>
      </c>
      <c r="K140" s="42">
        <v>1500000</v>
      </c>
      <c r="L140" s="41">
        <v>18</v>
      </c>
    </row>
    <row r="141" spans="1:12" ht="12.75">
      <c r="A141" s="39"/>
      <c r="B141" s="39"/>
      <c r="C141" s="39"/>
      <c r="D141" s="40"/>
      <c r="E141" s="41"/>
      <c r="F141" s="42"/>
      <c r="G141" s="43"/>
      <c r="H141" s="42"/>
      <c r="I141" s="42"/>
      <c r="J141" s="42"/>
      <c r="K141" s="42"/>
      <c r="L141" s="39"/>
    </row>
    <row r="142" spans="1:12" ht="12.75">
      <c r="A142" s="39"/>
      <c r="B142" s="39"/>
      <c r="C142" s="39"/>
      <c r="D142" s="39"/>
      <c r="E142" s="41"/>
      <c r="F142" s="42"/>
      <c r="G142" s="42"/>
      <c r="H142" s="42"/>
      <c r="I142" s="42"/>
      <c r="J142" s="42"/>
      <c r="K142" s="42"/>
      <c r="L142" s="39"/>
    </row>
    <row r="143" spans="1:12" ht="64.5" customHeight="1">
      <c r="A143" s="33" t="s">
        <v>29</v>
      </c>
      <c r="B143" s="57">
        <v>7350</v>
      </c>
      <c r="C143" s="55" t="s">
        <v>53</v>
      </c>
      <c r="D143" s="39"/>
      <c r="E143" s="41"/>
      <c r="F143" s="52">
        <f t="shared" ref="F143:K143" si="13">F144+F146</f>
        <v>5699000</v>
      </c>
      <c r="G143" s="52">
        <f t="shared" si="13"/>
        <v>49000</v>
      </c>
      <c r="H143" s="52">
        <f t="shared" si="13"/>
        <v>400000</v>
      </c>
      <c r="I143" s="52">
        <f t="shared" si="13"/>
        <v>800000</v>
      </c>
      <c r="J143" s="52">
        <f t="shared" si="13"/>
        <v>800000</v>
      </c>
      <c r="K143" s="52">
        <f t="shared" si="13"/>
        <v>400000</v>
      </c>
      <c r="L143" s="39"/>
    </row>
    <row r="144" spans="1:12" ht="38.25">
      <c r="A144" s="33"/>
      <c r="B144" s="57"/>
      <c r="C144" s="55"/>
      <c r="D144" s="55" t="s">
        <v>212</v>
      </c>
      <c r="E144" s="41"/>
      <c r="F144" s="52">
        <f t="shared" ref="F144:K144" si="14">SUM(F145)</f>
        <v>2499000</v>
      </c>
      <c r="G144" s="52">
        <f t="shared" si="14"/>
        <v>49000</v>
      </c>
      <c r="H144" s="52">
        <f t="shared" si="14"/>
        <v>400000</v>
      </c>
      <c r="I144" s="52">
        <f t="shared" si="14"/>
        <v>0</v>
      </c>
      <c r="J144" s="52">
        <f t="shared" si="14"/>
        <v>0</v>
      </c>
      <c r="K144" s="52">
        <f t="shared" si="14"/>
        <v>0</v>
      </c>
      <c r="L144" s="39"/>
    </row>
    <row r="145" spans="1:12" ht="63.75">
      <c r="A145" s="39"/>
      <c r="B145" s="39"/>
      <c r="C145" s="39"/>
      <c r="D145" s="62" t="s">
        <v>30</v>
      </c>
      <c r="E145" s="41" t="s">
        <v>321</v>
      </c>
      <c r="F145" s="42">
        <v>2499000</v>
      </c>
      <c r="G145" s="43">
        <v>49000</v>
      </c>
      <c r="H145" s="42">
        <v>400000</v>
      </c>
      <c r="I145" s="42"/>
      <c r="J145" s="42"/>
      <c r="K145" s="42"/>
      <c r="L145" s="41">
        <v>18</v>
      </c>
    </row>
    <row r="146" spans="1:12" ht="54" customHeight="1">
      <c r="A146" s="39"/>
      <c r="B146" s="39"/>
      <c r="C146" s="39"/>
      <c r="D146" s="53" t="s">
        <v>322</v>
      </c>
      <c r="E146" s="41"/>
      <c r="F146" s="52">
        <f t="shared" ref="F146:K146" si="15">SUM(F147:F148)</f>
        <v>3200000</v>
      </c>
      <c r="G146" s="52">
        <f t="shared" si="15"/>
        <v>0</v>
      </c>
      <c r="H146" s="52">
        <f t="shared" si="15"/>
        <v>0</v>
      </c>
      <c r="I146" s="52">
        <f t="shared" si="15"/>
        <v>800000</v>
      </c>
      <c r="J146" s="52">
        <f t="shared" si="15"/>
        <v>800000</v>
      </c>
      <c r="K146" s="52">
        <f t="shared" si="15"/>
        <v>400000</v>
      </c>
      <c r="L146" s="39"/>
    </row>
    <row r="147" spans="1:12" ht="38.25">
      <c r="A147" s="39"/>
      <c r="B147" s="39"/>
      <c r="C147" s="39"/>
      <c r="D147" s="40" t="s">
        <v>110</v>
      </c>
      <c r="E147" s="41" t="s">
        <v>39</v>
      </c>
      <c r="F147" s="42">
        <v>2000000</v>
      </c>
      <c r="G147" s="43"/>
      <c r="H147" s="42"/>
      <c r="I147" s="42">
        <v>400000</v>
      </c>
      <c r="J147" s="42">
        <v>400000</v>
      </c>
      <c r="K147" s="42">
        <v>200000</v>
      </c>
      <c r="L147" s="41">
        <v>50</v>
      </c>
    </row>
    <row r="148" spans="1:12" ht="51">
      <c r="A148" s="39"/>
      <c r="B148" s="39"/>
      <c r="C148" s="39"/>
      <c r="D148" s="49" t="s">
        <v>210</v>
      </c>
      <c r="E148" s="41" t="s">
        <v>39</v>
      </c>
      <c r="F148" s="42">
        <v>1200000</v>
      </c>
      <c r="G148" s="43"/>
      <c r="H148" s="42"/>
      <c r="I148" s="42">
        <v>400000</v>
      </c>
      <c r="J148" s="42">
        <v>400000</v>
      </c>
      <c r="K148" s="42">
        <v>200000</v>
      </c>
      <c r="L148" s="41">
        <v>83</v>
      </c>
    </row>
    <row r="149" spans="1:12" ht="12.75">
      <c r="A149" s="39"/>
      <c r="B149" s="39"/>
      <c r="C149" s="39"/>
      <c r="D149" s="62"/>
      <c r="E149" s="41"/>
      <c r="F149" s="42"/>
      <c r="G149" s="43"/>
      <c r="H149" s="42"/>
      <c r="I149" s="42"/>
      <c r="J149" s="42"/>
      <c r="K149" s="42"/>
      <c r="L149" s="39"/>
    </row>
    <row r="150" spans="1:12" ht="50.25" customHeight="1">
      <c r="A150" s="33" t="s">
        <v>472</v>
      </c>
      <c r="B150" s="60">
        <v>8311</v>
      </c>
      <c r="C150" s="63" t="s">
        <v>137</v>
      </c>
      <c r="D150" s="62"/>
      <c r="E150" s="41"/>
      <c r="F150" s="52">
        <f t="shared" ref="F150:K150" si="16">SUM(F151)</f>
        <v>29158680</v>
      </c>
      <c r="G150" s="52">
        <f t="shared" si="16"/>
        <v>0</v>
      </c>
      <c r="H150" s="52">
        <f t="shared" si="16"/>
        <v>0</v>
      </c>
      <c r="I150" s="52">
        <f t="shared" si="16"/>
        <v>1000000</v>
      </c>
      <c r="J150" s="52">
        <f t="shared" si="16"/>
        <v>800000</v>
      </c>
      <c r="K150" s="52">
        <f t="shared" si="16"/>
        <v>800000</v>
      </c>
      <c r="L150" s="39"/>
    </row>
    <row r="151" spans="1:12" ht="25.5">
      <c r="A151" s="39"/>
      <c r="B151" s="39"/>
      <c r="C151" s="39"/>
      <c r="D151" s="46" t="s">
        <v>206</v>
      </c>
      <c r="E151" s="64" t="s">
        <v>39</v>
      </c>
      <c r="F151" s="42">
        <v>29158680</v>
      </c>
      <c r="G151" s="43"/>
      <c r="H151" s="42"/>
      <c r="I151" s="42">
        <v>1000000</v>
      </c>
      <c r="J151" s="42">
        <v>800000</v>
      </c>
      <c r="K151" s="42">
        <v>800000</v>
      </c>
      <c r="L151" s="41">
        <v>9</v>
      </c>
    </row>
    <row r="152" spans="1:12" ht="12.75">
      <c r="A152" s="39"/>
      <c r="B152" s="39"/>
      <c r="C152" s="39"/>
      <c r="D152" s="39"/>
      <c r="E152" s="41"/>
      <c r="F152" s="54"/>
      <c r="G152" s="54"/>
      <c r="H152" s="54"/>
      <c r="I152" s="54"/>
      <c r="J152" s="54"/>
      <c r="K152" s="54"/>
      <c r="L152" s="39"/>
    </row>
    <row r="153" spans="1:12" ht="22.5" customHeight="1">
      <c r="A153" s="39"/>
      <c r="B153" s="39"/>
      <c r="C153" s="35" t="s">
        <v>47</v>
      </c>
      <c r="D153" s="39"/>
      <c r="E153" s="65"/>
      <c r="F153" s="52">
        <f t="shared" ref="F153:K153" si="17">F154+F157+F180+F211</f>
        <v>15312566.800000001</v>
      </c>
      <c r="G153" s="52">
        <f t="shared" si="17"/>
        <v>1796975.6</v>
      </c>
      <c r="H153" s="52">
        <f t="shared" si="17"/>
        <v>5303143</v>
      </c>
      <c r="I153" s="52">
        <f t="shared" si="17"/>
        <v>3227233</v>
      </c>
      <c r="J153" s="52">
        <f t="shared" si="17"/>
        <v>5030000</v>
      </c>
      <c r="K153" s="52">
        <f t="shared" si="17"/>
        <v>5030000</v>
      </c>
      <c r="L153" s="66"/>
    </row>
    <row r="154" spans="1:12" ht="38.25">
      <c r="A154" s="67" t="s">
        <v>48</v>
      </c>
      <c r="B154" s="57" t="s">
        <v>33</v>
      </c>
      <c r="C154" s="55" t="s">
        <v>51</v>
      </c>
      <c r="D154" s="39"/>
      <c r="E154" s="65"/>
      <c r="F154" s="52">
        <f t="shared" ref="F154:K154" si="18">SUM(F155)</f>
        <v>0</v>
      </c>
      <c r="G154" s="52">
        <f t="shared" si="18"/>
        <v>0</v>
      </c>
      <c r="H154" s="52">
        <f t="shared" si="18"/>
        <v>50000</v>
      </c>
      <c r="I154" s="52">
        <f t="shared" si="18"/>
        <v>99000</v>
      </c>
      <c r="J154" s="52">
        <f t="shared" si="18"/>
        <v>199000</v>
      </c>
      <c r="K154" s="52">
        <f t="shared" si="18"/>
        <v>199000</v>
      </c>
      <c r="L154" s="66"/>
    </row>
    <row r="155" spans="1:12" ht="20.25" customHeight="1">
      <c r="A155" s="39"/>
      <c r="B155" s="39"/>
      <c r="C155" s="39"/>
      <c r="D155" s="40" t="s">
        <v>61</v>
      </c>
      <c r="E155" s="65"/>
      <c r="F155" s="42"/>
      <c r="G155" s="42"/>
      <c r="H155" s="42">
        <v>50000</v>
      </c>
      <c r="I155" s="42">
        <v>99000</v>
      </c>
      <c r="J155" s="42">
        <v>199000</v>
      </c>
      <c r="K155" s="42">
        <v>199000</v>
      </c>
      <c r="L155" s="66"/>
    </row>
    <row r="156" spans="1:12" ht="12.75">
      <c r="A156" s="39"/>
      <c r="B156" s="39"/>
      <c r="C156" s="39"/>
      <c r="D156" s="39"/>
      <c r="E156" s="65"/>
      <c r="F156" s="42"/>
      <c r="G156" s="42"/>
      <c r="H156" s="42"/>
      <c r="I156" s="42"/>
      <c r="J156" s="42"/>
      <c r="K156" s="42"/>
      <c r="L156" s="66"/>
    </row>
    <row r="157" spans="1:12" ht="37.5" customHeight="1">
      <c r="A157" s="67" t="s">
        <v>49</v>
      </c>
      <c r="B157" s="67" t="s">
        <v>50</v>
      </c>
      <c r="C157" s="55" t="s">
        <v>52</v>
      </c>
      <c r="D157" s="39"/>
      <c r="E157" s="65"/>
      <c r="F157" s="52">
        <f t="shared" ref="F157:K157" si="19">SUM(F158:F178)</f>
        <v>5250940</v>
      </c>
      <c r="G157" s="52">
        <f t="shared" si="19"/>
        <v>689423.8</v>
      </c>
      <c r="H157" s="52">
        <f t="shared" si="19"/>
        <v>1249842</v>
      </c>
      <c r="I157" s="52">
        <f t="shared" si="19"/>
        <v>1830433</v>
      </c>
      <c r="J157" s="52">
        <f t="shared" si="19"/>
        <v>1278027</v>
      </c>
      <c r="K157" s="52">
        <f t="shared" si="19"/>
        <v>895000</v>
      </c>
      <c r="L157" s="66"/>
    </row>
    <row r="158" spans="1:12" s="1" customFormat="1" ht="20.25" customHeight="1">
      <c r="A158" s="67"/>
      <c r="B158" s="67"/>
      <c r="C158" s="55"/>
      <c r="D158" s="40" t="s">
        <v>61</v>
      </c>
      <c r="E158" s="65"/>
      <c r="F158" s="42"/>
      <c r="G158" s="42"/>
      <c r="H158" s="43">
        <f>100000</f>
        <v>100000</v>
      </c>
      <c r="I158" s="42">
        <v>199000</v>
      </c>
      <c r="J158" s="42">
        <v>199000</v>
      </c>
      <c r="K158" s="42">
        <v>199000</v>
      </c>
      <c r="L158" s="66"/>
    </row>
    <row r="159" spans="1:12" s="1" customFormat="1" ht="20.25" customHeight="1">
      <c r="A159" s="67"/>
      <c r="B159" s="67"/>
      <c r="C159" s="55"/>
      <c r="D159" s="39"/>
      <c r="E159" s="65"/>
      <c r="F159" s="42"/>
      <c r="G159" s="42"/>
      <c r="H159" s="42"/>
      <c r="I159" s="42"/>
      <c r="J159" s="42"/>
      <c r="K159" s="42"/>
      <c r="L159" s="66"/>
    </row>
    <row r="160" spans="1:12" ht="38.25">
      <c r="A160" s="39"/>
      <c r="B160" s="39"/>
      <c r="C160" s="39"/>
      <c r="D160" s="40" t="s">
        <v>81</v>
      </c>
      <c r="E160" s="65">
        <v>2020</v>
      </c>
      <c r="F160" s="42">
        <v>298236</v>
      </c>
      <c r="G160" s="50">
        <f>184429+74919.6+25576.8+8096.4</f>
        <v>293021.80000000005</v>
      </c>
      <c r="H160" s="42"/>
      <c r="I160" s="42"/>
      <c r="J160" s="42"/>
      <c r="K160" s="42"/>
      <c r="L160" s="42">
        <v>100</v>
      </c>
    </row>
    <row r="161" spans="1:12" ht="60" customHeight="1">
      <c r="A161" s="39"/>
      <c r="B161" s="39"/>
      <c r="C161" s="39"/>
      <c r="D161" s="40" t="s">
        <v>300</v>
      </c>
      <c r="E161" s="65" t="s">
        <v>323</v>
      </c>
      <c r="F161" s="42">
        <v>144402</v>
      </c>
      <c r="G161" s="50">
        <f>144402</f>
        <v>144402</v>
      </c>
      <c r="H161" s="42"/>
      <c r="I161" s="42"/>
      <c r="J161" s="42"/>
      <c r="K161" s="42"/>
      <c r="L161" s="42">
        <v>100</v>
      </c>
    </row>
    <row r="162" spans="1:12" ht="57" customHeight="1">
      <c r="A162" s="39"/>
      <c r="B162" s="39"/>
      <c r="C162" s="39"/>
      <c r="D162" s="40" t="s">
        <v>82</v>
      </c>
      <c r="E162" s="65">
        <v>2020</v>
      </c>
      <c r="F162" s="42">
        <v>252000</v>
      </c>
      <c r="G162" s="50">
        <f>252000</f>
        <v>252000</v>
      </c>
      <c r="H162" s="42"/>
      <c r="I162" s="42"/>
      <c r="J162" s="42"/>
      <c r="K162" s="42"/>
      <c r="L162" s="42">
        <v>100</v>
      </c>
    </row>
    <row r="163" spans="1:12" ht="38.25">
      <c r="A163" s="39"/>
      <c r="B163" s="39"/>
      <c r="C163" s="39"/>
      <c r="D163" s="68" t="s">
        <v>83</v>
      </c>
      <c r="E163" s="65">
        <v>2021</v>
      </c>
      <c r="F163" s="43">
        <f>299000</f>
        <v>299000</v>
      </c>
      <c r="G163" s="42"/>
      <c r="H163" s="43">
        <f>299000</f>
        <v>299000</v>
      </c>
      <c r="I163" s="42"/>
      <c r="J163" s="42"/>
      <c r="K163" s="42"/>
      <c r="L163" s="42">
        <v>100</v>
      </c>
    </row>
    <row r="164" spans="1:12" ht="38.25">
      <c r="A164" s="39"/>
      <c r="B164" s="39"/>
      <c r="C164" s="39"/>
      <c r="D164" s="69" t="s">
        <v>84</v>
      </c>
      <c r="E164" s="65" t="s">
        <v>324</v>
      </c>
      <c r="F164" s="43">
        <f>152000</f>
        <v>152000</v>
      </c>
      <c r="G164" s="42"/>
      <c r="H164" s="43">
        <f>152000</f>
        <v>152000</v>
      </c>
      <c r="I164" s="42"/>
      <c r="J164" s="42"/>
      <c r="K164" s="42"/>
      <c r="L164" s="42">
        <v>100</v>
      </c>
    </row>
    <row r="165" spans="1:12" ht="51">
      <c r="A165" s="39"/>
      <c r="B165" s="39"/>
      <c r="C165" s="39"/>
      <c r="D165" s="68" t="s">
        <v>85</v>
      </c>
      <c r="E165" s="65">
        <v>2021</v>
      </c>
      <c r="F165" s="43">
        <f>299000</f>
        <v>299000</v>
      </c>
      <c r="G165" s="42"/>
      <c r="H165" s="43">
        <f>299000</f>
        <v>299000</v>
      </c>
      <c r="I165" s="42"/>
      <c r="J165" s="42"/>
      <c r="K165" s="42"/>
      <c r="L165" s="42">
        <v>100</v>
      </c>
    </row>
    <row r="166" spans="1:12" ht="38.25">
      <c r="A166" s="39"/>
      <c r="B166" s="39"/>
      <c r="C166" s="39"/>
      <c r="D166" s="40" t="s">
        <v>86</v>
      </c>
      <c r="E166" s="65">
        <v>2021</v>
      </c>
      <c r="F166" s="43">
        <f>299842</f>
        <v>299842</v>
      </c>
      <c r="G166" s="42"/>
      <c r="H166" s="43">
        <f>299842</f>
        <v>299842</v>
      </c>
      <c r="I166" s="42"/>
      <c r="J166" s="42"/>
      <c r="K166" s="42"/>
      <c r="L166" s="42">
        <v>100</v>
      </c>
    </row>
    <row r="167" spans="1:12" ht="53.25" customHeight="1">
      <c r="A167" s="39"/>
      <c r="B167" s="39"/>
      <c r="C167" s="39"/>
      <c r="D167" s="68" t="s">
        <v>87</v>
      </c>
      <c r="E167" s="65">
        <v>2021</v>
      </c>
      <c r="F167" s="43">
        <f>100000</f>
        <v>100000</v>
      </c>
      <c r="G167" s="42"/>
      <c r="H167" s="43">
        <f>100000</f>
        <v>100000</v>
      </c>
      <c r="I167" s="42"/>
      <c r="J167" s="42"/>
      <c r="K167" s="42"/>
      <c r="L167" s="42">
        <v>100</v>
      </c>
    </row>
    <row r="168" spans="1:12" ht="51">
      <c r="A168" s="39"/>
      <c r="B168" s="39"/>
      <c r="C168" s="39"/>
      <c r="D168" s="46" t="s">
        <v>89</v>
      </c>
      <c r="E168" s="64">
        <v>2022</v>
      </c>
      <c r="F168" s="50">
        <v>299000</v>
      </c>
      <c r="G168" s="50"/>
      <c r="H168" s="50"/>
      <c r="I168" s="50">
        <v>299000</v>
      </c>
      <c r="J168" s="50"/>
      <c r="K168" s="50"/>
      <c r="L168" s="42">
        <v>100</v>
      </c>
    </row>
    <row r="169" spans="1:12" ht="38.25">
      <c r="A169" s="39"/>
      <c r="B169" s="39"/>
      <c r="C169" s="39"/>
      <c r="D169" s="46" t="s">
        <v>211</v>
      </c>
      <c r="E169" s="64">
        <v>2022</v>
      </c>
      <c r="F169" s="50">
        <v>296000</v>
      </c>
      <c r="G169" s="50"/>
      <c r="H169" s="50"/>
      <c r="I169" s="50">
        <v>296000</v>
      </c>
      <c r="J169" s="50"/>
      <c r="K169" s="50"/>
      <c r="L169" s="42">
        <v>100</v>
      </c>
    </row>
    <row r="170" spans="1:12" ht="38.25">
      <c r="A170" s="39"/>
      <c r="B170" s="39"/>
      <c r="C170" s="39"/>
      <c r="D170" s="46" t="s">
        <v>96</v>
      </c>
      <c r="E170" s="64">
        <v>2022</v>
      </c>
      <c r="F170" s="50">
        <v>299000</v>
      </c>
      <c r="G170" s="50"/>
      <c r="H170" s="50"/>
      <c r="I170" s="50">
        <v>299000</v>
      </c>
      <c r="J170" s="50"/>
      <c r="K170" s="50"/>
      <c r="L170" s="42">
        <v>100</v>
      </c>
    </row>
    <row r="171" spans="1:12" ht="38.25">
      <c r="A171" s="39"/>
      <c r="B171" s="39"/>
      <c r="C171" s="39"/>
      <c r="D171" s="46" t="s">
        <v>90</v>
      </c>
      <c r="E171" s="64">
        <v>2022</v>
      </c>
      <c r="F171" s="50">
        <v>299900</v>
      </c>
      <c r="G171" s="50"/>
      <c r="H171" s="50"/>
      <c r="I171" s="50">
        <v>299900</v>
      </c>
      <c r="J171" s="50"/>
      <c r="K171" s="50"/>
      <c r="L171" s="42">
        <v>100</v>
      </c>
    </row>
    <row r="172" spans="1:12" ht="38.25">
      <c r="A172" s="39"/>
      <c r="B172" s="39"/>
      <c r="C172" s="39"/>
      <c r="D172" s="46" t="s">
        <v>91</v>
      </c>
      <c r="E172" s="64">
        <v>2022</v>
      </c>
      <c r="F172" s="50">
        <v>437533</v>
      </c>
      <c r="G172" s="50"/>
      <c r="H172" s="50"/>
      <c r="I172" s="50">
        <v>437533</v>
      </c>
      <c r="J172" s="50"/>
      <c r="K172" s="50"/>
      <c r="L172" s="42">
        <v>100</v>
      </c>
    </row>
    <row r="173" spans="1:12" ht="38.25">
      <c r="A173" s="39"/>
      <c r="B173" s="39"/>
      <c r="C173" s="39"/>
      <c r="D173" s="46" t="s">
        <v>92</v>
      </c>
      <c r="E173" s="64">
        <v>2023</v>
      </c>
      <c r="F173" s="50">
        <v>299000</v>
      </c>
      <c r="G173" s="50"/>
      <c r="H173" s="50"/>
      <c r="I173" s="50"/>
      <c r="J173" s="50">
        <v>299000</v>
      </c>
      <c r="K173" s="50"/>
      <c r="L173" s="42">
        <v>100</v>
      </c>
    </row>
    <row r="174" spans="1:12" ht="49.5" customHeight="1">
      <c r="A174" s="39"/>
      <c r="B174" s="39"/>
      <c r="C174" s="39"/>
      <c r="D174" s="46" t="s">
        <v>209</v>
      </c>
      <c r="E174" s="64">
        <v>2023</v>
      </c>
      <c r="F174" s="50">
        <v>296000</v>
      </c>
      <c r="G174" s="50"/>
      <c r="H174" s="50"/>
      <c r="I174" s="50"/>
      <c r="J174" s="50">
        <v>296000</v>
      </c>
      <c r="K174" s="50"/>
      <c r="L174" s="42">
        <v>100</v>
      </c>
    </row>
    <row r="175" spans="1:12" ht="52.5" customHeight="1">
      <c r="A175" s="39"/>
      <c r="B175" s="39"/>
      <c r="C175" s="39"/>
      <c r="D175" s="46" t="s">
        <v>93</v>
      </c>
      <c r="E175" s="64">
        <v>2023</v>
      </c>
      <c r="F175" s="50">
        <v>484027</v>
      </c>
      <c r="G175" s="50"/>
      <c r="H175" s="50"/>
      <c r="I175" s="50"/>
      <c r="J175" s="50">
        <v>484027</v>
      </c>
      <c r="K175" s="50"/>
      <c r="L175" s="42">
        <v>100</v>
      </c>
    </row>
    <row r="176" spans="1:12" ht="38.25">
      <c r="A176" s="39"/>
      <c r="B176" s="39"/>
      <c r="C176" s="39"/>
      <c r="D176" s="46" t="s">
        <v>94</v>
      </c>
      <c r="E176" s="64">
        <v>2024</v>
      </c>
      <c r="F176" s="50">
        <v>200000</v>
      </c>
      <c r="G176" s="50"/>
      <c r="H176" s="50"/>
      <c r="I176" s="50"/>
      <c r="J176" s="50"/>
      <c r="K176" s="50">
        <v>200000</v>
      </c>
      <c r="L176" s="42">
        <v>100</v>
      </c>
    </row>
    <row r="177" spans="1:15" ht="54.75" customHeight="1">
      <c r="A177" s="39"/>
      <c r="B177" s="39"/>
      <c r="C177" s="39"/>
      <c r="D177" s="46" t="s">
        <v>97</v>
      </c>
      <c r="E177" s="64">
        <v>2024</v>
      </c>
      <c r="F177" s="50">
        <v>296000</v>
      </c>
      <c r="G177" s="50"/>
      <c r="H177" s="50"/>
      <c r="I177" s="50"/>
      <c r="J177" s="50"/>
      <c r="K177" s="50">
        <v>296000</v>
      </c>
      <c r="L177" s="42">
        <v>100</v>
      </c>
    </row>
    <row r="178" spans="1:15" ht="38.25">
      <c r="A178" s="39"/>
      <c r="B178" s="39"/>
      <c r="C178" s="39"/>
      <c r="D178" s="46" t="s">
        <v>95</v>
      </c>
      <c r="E178" s="64">
        <v>2024</v>
      </c>
      <c r="F178" s="50">
        <v>200000</v>
      </c>
      <c r="G178" s="50"/>
      <c r="H178" s="50"/>
      <c r="I178" s="50"/>
      <c r="J178" s="50"/>
      <c r="K178" s="50">
        <v>200000</v>
      </c>
      <c r="L178" s="42">
        <v>100</v>
      </c>
    </row>
    <row r="179" spans="1:15" ht="12.75">
      <c r="A179" s="39"/>
      <c r="B179" s="39"/>
      <c r="C179" s="39"/>
      <c r="D179" s="39"/>
      <c r="E179" s="41"/>
      <c r="F179" s="54"/>
      <c r="G179" s="54"/>
      <c r="H179" s="54"/>
      <c r="I179" s="54"/>
      <c r="J179" s="54"/>
      <c r="K179" s="54"/>
      <c r="L179" s="42"/>
    </row>
    <row r="180" spans="1:15" ht="69" customHeight="1">
      <c r="A180" s="33" t="s">
        <v>54</v>
      </c>
      <c r="B180" s="70">
        <v>1021</v>
      </c>
      <c r="C180" s="55" t="s">
        <v>55</v>
      </c>
      <c r="D180" s="39"/>
      <c r="E180" s="41"/>
      <c r="F180" s="52">
        <f t="shared" ref="F180:K180" si="20">SUM(F181:F209)</f>
        <v>9462826.8000000007</v>
      </c>
      <c r="G180" s="52">
        <f t="shared" si="20"/>
        <v>1107551.8</v>
      </c>
      <c r="H180" s="52">
        <f t="shared" si="20"/>
        <v>3953301</v>
      </c>
      <c r="I180" s="52">
        <f t="shared" si="20"/>
        <v>599000</v>
      </c>
      <c r="J180" s="52">
        <f t="shared" si="20"/>
        <v>3452973</v>
      </c>
      <c r="K180" s="52">
        <f t="shared" si="20"/>
        <v>3836000</v>
      </c>
      <c r="L180" s="39"/>
    </row>
    <row r="181" spans="1:15" ht="25.5">
      <c r="A181" s="39"/>
      <c r="B181" s="39"/>
      <c r="C181" s="39"/>
      <c r="D181" s="46" t="s">
        <v>208</v>
      </c>
      <c r="E181" s="36"/>
      <c r="F181" s="37"/>
      <c r="G181" s="50">
        <v>900013</v>
      </c>
      <c r="H181" s="50">
        <v>400000</v>
      </c>
      <c r="I181" s="50">
        <v>400000</v>
      </c>
      <c r="J181" s="50">
        <v>500000</v>
      </c>
      <c r="K181" s="50">
        <v>500000</v>
      </c>
      <c r="L181" s="39"/>
    </row>
    <row r="182" spans="1:15" ht="38.25">
      <c r="A182" s="39"/>
      <c r="B182" s="39"/>
      <c r="C182" s="39"/>
      <c r="D182" s="46" t="s">
        <v>59</v>
      </c>
      <c r="E182" s="36"/>
      <c r="F182" s="50"/>
      <c r="G182" s="50">
        <v>42703</v>
      </c>
      <c r="H182" s="50"/>
      <c r="I182" s="50"/>
      <c r="J182" s="50"/>
      <c r="K182" s="50"/>
      <c r="L182" s="41">
        <v>100</v>
      </c>
    </row>
    <row r="183" spans="1:15" ht="57.75" customHeight="1">
      <c r="A183" s="39"/>
      <c r="B183" s="39"/>
      <c r="C183" s="39"/>
      <c r="D183" s="46" t="s">
        <v>60</v>
      </c>
      <c r="E183" s="36"/>
      <c r="F183" s="50"/>
      <c r="G183" s="50">
        <v>46283</v>
      </c>
      <c r="H183" s="50"/>
      <c r="I183" s="50"/>
      <c r="J183" s="50"/>
      <c r="K183" s="50"/>
      <c r="L183" s="41">
        <v>100</v>
      </c>
    </row>
    <row r="184" spans="1:15" ht="23.25" customHeight="1">
      <c r="A184" s="39"/>
      <c r="B184" s="39"/>
      <c r="C184" s="39"/>
      <c r="D184" s="46" t="s">
        <v>61</v>
      </c>
      <c r="E184" s="36"/>
      <c r="F184" s="50"/>
      <c r="G184" s="50"/>
      <c r="H184" s="50">
        <v>100000</v>
      </c>
      <c r="I184" s="50">
        <v>199000</v>
      </c>
      <c r="J184" s="50">
        <v>199000</v>
      </c>
      <c r="K184" s="50">
        <v>199000</v>
      </c>
      <c r="L184" s="39"/>
    </row>
    <row r="185" spans="1:15" ht="12.75">
      <c r="A185" s="39"/>
      <c r="B185" s="39"/>
      <c r="C185" s="39"/>
      <c r="D185" s="36"/>
      <c r="E185" s="36"/>
      <c r="F185" s="50"/>
      <c r="G185" s="50"/>
      <c r="H185" s="50"/>
      <c r="I185" s="50"/>
      <c r="J185" s="50"/>
      <c r="K185" s="50"/>
      <c r="L185" s="39"/>
    </row>
    <row r="186" spans="1:15" ht="51">
      <c r="A186" s="39"/>
      <c r="B186" s="39"/>
      <c r="C186" s="39"/>
      <c r="D186" s="46" t="s">
        <v>56</v>
      </c>
      <c r="E186" s="36">
        <v>2020</v>
      </c>
      <c r="F186" s="50">
        <v>118552.8</v>
      </c>
      <c r="G186" s="50">
        <v>118552.8</v>
      </c>
      <c r="H186" s="50"/>
      <c r="I186" s="50"/>
      <c r="J186" s="50"/>
      <c r="K186" s="50"/>
      <c r="L186" s="41">
        <v>100</v>
      </c>
    </row>
    <row r="187" spans="1:15" ht="38.25">
      <c r="A187" s="39"/>
      <c r="B187" s="39"/>
      <c r="C187" s="39"/>
      <c r="D187" s="68" t="s">
        <v>62</v>
      </c>
      <c r="E187" s="36">
        <v>2021</v>
      </c>
      <c r="F187" s="50">
        <v>22000</v>
      </c>
      <c r="G187" s="50"/>
      <c r="H187" s="50">
        <v>22000</v>
      </c>
      <c r="I187" s="50"/>
      <c r="J187" s="50"/>
      <c r="K187" s="50"/>
      <c r="L187" s="41">
        <v>100</v>
      </c>
    </row>
    <row r="188" spans="1:15" ht="38.25">
      <c r="A188" s="39"/>
      <c r="B188" s="39"/>
      <c r="C188" s="39"/>
      <c r="D188" s="68" t="s">
        <v>326</v>
      </c>
      <c r="E188" s="36">
        <v>2021</v>
      </c>
      <c r="F188" s="50">
        <v>30000</v>
      </c>
      <c r="G188" s="50"/>
      <c r="H188" s="50">
        <v>30000</v>
      </c>
      <c r="I188" s="50"/>
      <c r="J188" s="50"/>
      <c r="K188" s="50"/>
      <c r="L188" s="41">
        <v>100</v>
      </c>
    </row>
    <row r="189" spans="1:15" ht="38.25">
      <c r="A189" s="39"/>
      <c r="B189" s="39"/>
      <c r="C189" s="39"/>
      <c r="D189" s="40" t="s">
        <v>63</v>
      </c>
      <c r="E189" s="36">
        <v>2021</v>
      </c>
      <c r="F189" s="50">
        <v>200000</v>
      </c>
      <c r="G189" s="50"/>
      <c r="H189" s="50">
        <v>200000</v>
      </c>
      <c r="I189" s="50"/>
      <c r="J189" s="50"/>
      <c r="K189" s="50"/>
      <c r="L189" s="41">
        <v>100</v>
      </c>
    </row>
    <row r="190" spans="1:15" ht="38.25">
      <c r="A190" s="39"/>
      <c r="B190" s="39"/>
      <c r="C190" s="39"/>
      <c r="D190" s="40" t="s">
        <v>327</v>
      </c>
      <c r="E190" s="36">
        <v>2021</v>
      </c>
      <c r="F190" s="50">
        <v>22000</v>
      </c>
      <c r="G190" s="50"/>
      <c r="H190" s="50">
        <v>22000</v>
      </c>
      <c r="I190" s="50"/>
      <c r="J190" s="50"/>
      <c r="K190" s="50"/>
      <c r="L190" s="41">
        <v>100</v>
      </c>
      <c r="O190" s="5"/>
    </row>
    <row r="191" spans="1:15" ht="45" customHeight="1">
      <c r="A191" s="39"/>
      <c r="B191" s="39"/>
      <c r="C191" s="39"/>
      <c r="D191" s="40" t="s">
        <v>328</v>
      </c>
      <c r="E191" s="36">
        <v>2021</v>
      </c>
      <c r="F191" s="50">
        <v>26000</v>
      </c>
      <c r="G191" s="50"/>
      <c r="H191" s="50">
        <v>26000</v>
      </c>
      <c r="I191" s="50"/>
      <c r="J191" s="50"/>
      <c r="K191" s="50"/>
      <c r="L191" s="41">
        <v>100</v>
      </c>
      <c r="O191" s="5"/>
    </row>
    <row r="192" spans="1:15" ht="51">
      <c r="A192" s="39"/>
      <c r="B192" s="39"/>
      <c r="C192" s="39"/>
      <c r="D192" s="68" t="s">
        <v>64</v>
      </c>
      <c r="E192" s="36">
        <v>2021</v>
      </c>
      <c r="F192" s="50">
        <v>1000000</v>
      </c>
      <c r="G192" s="50"/>
      <c r="H192" s="50">
        <v>1000000</v>
      </c>
      <c r="I192" s="50"/>
      <c r="J192" s="50"/>
      <c r="K192" s="50"/>
      <c r="L192" s="41">
        <v>100</v>
      </c>
      <c r="O192" s="6"/>
    </row>
    <row r="193" spans="1:15" ht="25.5">
      <c r="A193" s="39"/>
      <c r="B193" s="39"/>
      <c r="C193" s="39"/>
      <c r="D193" s="68" t="s">
        <v>325</v>
      </c>
      <c r="E193" s="36">
        <v>2021</v>
      </c>
      <c r="F193" s="50">
        <v>49800</v>
      </c>
      <c r="G193" s="50"/>
      <c r="H193" s="50">
        <v>49800</v>
      </c>
      <c r="I193" s="50"/>
      <c r="J193" s="50"/>
      <c r="K193" s="50"/>
      <c r="L193" s="41">
        <v>100</v>
      </c>
      <c r="O193" s="7"/>
    </row>
    <row r="194" spans="1:15" ht="38.25">
      <c r="A194" s="39"/>
      <c r="B194" s="39"/>
      <c r="C194" s="39"/>
      <c r="D194" s="69" t="s">
        <v>65</v>
      </c>
      <c r="E194" s="36">
        <v>2021</v>
      </c>
      <c r="F194" s="50">
        <v>800000</v>
      </c>
      <c r="G194" s="50"/>
      <c r="H194" s="50">
        <v>800000</v>
      </c>
      <c r="I194" s="50"/>
      <c r="J194" s="50"/>
      <c r="K194" s="50"/>
      <c r="L194" s="41">
        <v>100</v>
      </c>
      <c r="O194" s="8"/>
    </row>
    <row r="195" spans="1:15" ht="25.5">
      <c r="A195" s="39"/>
      <c r="B195" s="39"/>
      <c r="C195" s="39"/>
      <c r="D195" s="69" t="s">
        <v>329</v>
      </c>
      <c r="E195" s="36">
        <v>2021</v>
      </c>
      <c r="F195" s="50">
        <v>26000</v>
      </c>
      <c r="G195" s="50"/>
      <c r="H195" s="50">
        <v>26000</v>
      </c>
      <c r="I195" s="50"/>
      <c r="J195" s="50"/>
      <c r="K195" s="50"/>
      <c r="L195" s="41">
        <v>100</v>
      </c>
      <c r="O195" s="9"/>
    </row>
    <row r="196" spans="1:15" ht="38.25">
      <c r="A196" s="39"/>
      <c r="B196" s="39"/>
      <c r="C196" s="39"/>
      <c r="D196" s="68" t="s">
        <v>66</v>
      </c>
      <c r="E196" s="36">
        <v>2021</v>
      </c>
      <c r="F196" s="50">
        <v>100000</v>
      </c>
      <c r="G196" s="50"/>
      <c r="H196" s="50">
        <v>100000</v>
      </c>
      <c r="I196" s="50"/>
      <c r="J196" s="50"/>
      <c r="K196" s="50"/>
      <c r="L196" s="41">
        <v>100</v>
      </c>
      <c r="O196" s="6"/>
    </row>
    <row r="197" spans="1:15" ht="39" customHeight="1">
      <c r="A197" s="39"/>
      <c r="B197" s="39"/>
      <c r="C197" s="39"/>
      <c r="D197" s="68" t="s">
        <v>330</v>
      </c>
      <c r="E197" s="36">
        <v>2021</v>
      </c>
      <c r="F197" s="50">
        <v>24000</v>
      </c>
      <c r="G197" s="50"/>
      <c r="H197" s="50">
        <v>24000</v>
      </c>
      <c r="I197" s="50"/>
      <c r="J197" s="50"/>
      <c r="K197" s="50"/>
      <c r="L197" s="41">
        <v>100</v>
      </c>
      <c r="O197" s="7"/>
    </row>
    <row r="198" spans="1:15" ht="38.25">
      <c r="A198" s="39"/>
      <c r="B198" s="39"/>
      <c r="C198" s="39"/>
      <c r="D198" s="40" t="s">
        <v>67</v>
      </c>
      <c r="E198" s="36">
        <v>2021</v>
      </c>
      <c r="F198" s="50">
        <v>653501</v>
      </c>
      <c r="G198" s="50"/>
      <c r="H198" s="50">
        <v>653501</v>
      </c>
      <c r="I198" s="50"/>
      <c r="J198" s="50"/>
      <c r="K198" s="50"/>
      <c r="L198" s="41">
        <v>100</v>
      </c>
      <c r="O198" s="3"/>
    </row>
    <row r="199" spans="1:15" ht="61.5" customHeight="1">
      <c r="A199" s="39"/>
      <c r="B199" s="39"/>
      <c r="C199" s="39"/>
      <c r="D199" s="40" t="s">
        <v>69</v>
      </c>
      <c r="E199" s="36">
        <v>2021</v>
      </c>
      <c r="F199" s="50">
        <v>500000</v>
      </c>
      <c r="G199" s="50"/>
      <c r="H199" s="50">
        <v>500000</v>
      </c>
      <c r="I199" s="50"/>
      <c r="J199" s="50"/>
      <c r="K199" s="50"/>
      <c r="L199" s="41">
        <v>100</v>
      </c>
      <c r="O199" s="3"/>
    </row>
    <row r="200" spans="1:15" ht="25.5">
      <c r="A200" s="39"/>
      <c r="B200" s="39"/>
      <c r="C200" s="39"/>
      <c r="D200" s="46" t="s">
        <v>71</v>
      </c>
      <c r="E200" s="36">
        <v>2023</v>
      </c>
      <c r="F200" s="50">
        <v>299900</v>
      </c>
      <c r="G200" s="50"/>
      <c r="H200" s="50"/>
      <c r="I200" s="50"/>
      <c r="J200" s="50">
        <v>299900</v>
      </c>
      <c r="K200" s="50"/>
      <c r="L200" s="41">
        <v>100</v>
      </c>
      <c r="O200" s="4"/>
    </row>
    <row r="201" spans="1:15" ht="38.25">
      <c r="A201" s="39"/>
      <c r="B201" s="39"/>
      <c r="C201" s="39"/>
      <c r="D201" s="46" t="s">
        <v>70</v>
      </c>
      <c r="E201" s="36">
        <v>2023</v>
      </c>
      <c r="F201" s="50">
        <v>299900</v>
      </c>
      <c r="G201" s="50"/>
      <c r="H201" s="50"/>
      <c r="I201" s="50"/>
      <c r="J201" s="50">
        <v>299900</v>
      </c>
      <c r="K201" s="50"/>
      <c r="L201" s="41">
        <v>100</v>
      </c>
    </row>
    <row r="202" spans="1:15" ht="38.25">
      <c r="A202" s="39"/>
      <c r="B202" s="39"/>
      <c r="C202" s="39"/>
      <c r="D202" s="46" t="s">
        <v>72</v>
      </c>
      <c r="E202" s="36">
        <v>2023</v>
      </c>
      <c r="F202" s="50">
        <v>299900</v>
      </c>
      <c r="G202" s="50"/>
      <c r="H202" s="50"/>
      <c r="I202" s="50"/>
      <c r="J202" s="50">
        <v>299900</v>
      </c>
      <c r="K202" s="50"/>
      <c r="L202" s="41">
        <v>100</v>
      </c>
    </row>
    <row r="203" spans="1:15" ht="40.5" customHeight="1">
      <c r="A203" s="39"/>
      <c r="B203" s="39"/>
      <c r="C203" s="39"/>
      <c r="D203" s="46" t="s">
        <v>57</v>
      </c>
      <c r="E203" s="36">
        <v>2023</v>
      </c>
      <c r="F203" s="50">
        <v>299900</v>
      </c>
      <c r="G203" s="50"/>
      <c r="H203" s="50"/>
      <c r="I203" s="50"/>
      <c r="J203" s="50">
        <v>299900</v>
      </c>
      <c r="K203" s="50"/>
      <c r="L203" s="41">
        <v>100</v>
      </c>
    </row>
    <row r="204" spans="1:15" ht="51">
      <c r="A204" s="39"/>
      <c r="B204" s="39"/>
      <c r="C204" s="39"/>
      <c r="D204" s="46" t="s">
        <v>74</v>
      </c>
      <c r="E204" s="36">
        <v>2023</v>
      </c>
      <c r="F204" s="50">
        <v>299900</v>
      </c>
      <c r="G204" s="50"/>
      <c r="H204" s="50"/>
      <c r="I204" s="50"/>
      <c r="J204" s="50">
        <v>299900</v>
      </c>
      <c r="K204" s="50"/>
      <c r="L204" s="41">
        <v>100</v>
      </c>
    </row>
    <row r="205" spans="1:15" ht="51">
      <c r="A205" s="39"/>
      <c r="B205" s="39"/>
      <c r="C205" s="39"/>
      <c r="D205" s="46" t="s">
        <v>75</v>
      </c>
      <c r="E205" s="36">
        <v>2023</v>
      </c>
      <c r="F205" s="50">
        <v>1254473</v>
      </c>
      <c r="G205" s="50"/>
      <c r="H205" s="50"/>
      <c r="I205" s="50"/>
      <c r="J205" s="50">
        <v>1254473</v>
      </c>
      <c r="K205" s="50"/>
      <c r="L205" s="41">
        <v>100</v>
      </c>
    </row>
    <row r="206" spans="1:15" ht="25.5">
      <c r="A206" s="39"/>
      <c r="B206" s="39"/>
      <c r="C206" s="39"/>
      <c r="D206" s="46" t="s">
        <v>76</v>
      </c>
      <c r="E206" s="36">
        <v>2024</v>
      </c>
      <c r="F206" s="50">
        <v>299900</v>
      </c>
      <c r="G206" s="50"/>
      <c r="H206" s="50"/>
      <c r="I206" s="50"/>
      <c r="J206" s="50"/>
      <c r="K206" s="50">
        <v>299900</v>
      </c>
      <c r="L206" s="41">
        <v>100</v>
      </c>
    </row>
    <row r="207" spans="1:15" ht="25.5">
      <c r="A207" s="39"/>
      <c r="B207" s="39"/>
      <c r="C207" s="39"/>
      <c r="D207" s="46" t="s">
        <v>77</v>
      </c>
      <c r="E207" s="36">
        <v>2024</v>
      </c>
      <c r="F207" s="50">
        <v>299900</v>
      </c>
      <c r="G207" s="50"/>
      <c r="H207" s="50"/>
      <c r="I207" s="50"/>
      <c r="J207" s="50"/>
      <c r="K207" s="50">
        <v>299900</v>
      </c>
      <c r="L207" s="41">
        <v>100</v>
      </c>
    </row>
    <row r="208" spans="1:15" ht="38.25">
      <c r="A208" s="39"/>
      <c r="B208" s="39"/>
      <c r="C208" s="39"/>
      <c r="D208" s="46" t="s">
        <v>78</v>
      </c>
      <c r="E208" s="36">
        <v>2024</v>
      </c>
      <c r="F208" s="50">
        <v>1268600</v>
      </c>
      <c r="G208" s="50"/>
      <c r="H208" s="50"/>
      <c r="I208" s="50"/>
      <c r="J208" s="50"/>
      <c r="K208" s="50">
        <v>1268600</v>
      </c>
      <c r="L208" s="41">
        <v>100</v>
      </c>
    </row>
    <row r="209" spans="1:12" ht="25.5">
      <c r="A209" s="39"/>
      <c r="B209" s="39"/>
      <c r="C209" s="39"/>
      <c r="D209" s="46" t="s">
        <v>79</v>
      </c>
      <c r="E209" s="36">
        <v>2024</v>
      </c>
      <c r="F209" s="50">
        <v>1268600</v>
      </c>
      <c r="G209" s="50"/>
      <c r="H209" s="50"/>
      <c r="I209" s="50"/>
      <c r="J209" s="50"/>
      <c r="K209" s="50">
        <v>1268600</v>
      </c>
      <c r="L209" s="41">
        <v>100</v>
      </c>
    </row>
    <row r="210" spans="1:12" ht="12.75">
      <c r="A210" s="39"/>
      <c r="B210" s="39"/>
      <c r="C210" s="39"/>
      <c r="D210" s="39"/>
      <c r="E210" s="41"/>
      <c r="F210" s="54"/>
      <c r="G210" s="54"/>
      <c r="H210" s="54"/>
      <c r="I210" s="54"/>
      <c r="J210" s="54"/>
      <c r="K210" s="54"/>
      <c r="L210" s="39"/>
    </row>
    <row r="211" spans="1:12" ht="87" customHeight="1">
      <c r="A211" s="33" t="s">
        <v>98</v>
      </c>
      <c r="B211" s="70">
        <v>1070</v>
      </c>
      <c r="C211" s="55" t="s">
        <v>99</v>
      </c>
      <c r="D211" s="39"/>
      <c r="E211" s="41"/>
      <c r="F211" s="52">
        <f t="shared" ref="F211:K211" si="21">SUM(F212:F215)</f>
        <v>598800</v>
      </c>
      <c r="G211" s="52">
        <f t="shared" si="21"/>
        <v>0</v>
      </c>
      <c r="H211" s="52">
        <f t="shared" si="21"/>
        <v>50000</v>
      </c>
      <c r="I211" s="52">
        <f t="shared" si="21"/>
        <v>698800</v>
      </c>
      <c r="J211" s="52">
        <f t="shared" si="21"/>
        <v>100000</v>
      </c>
      <c r="K211" s="52">
        <f t="shared" si="21"/>
        <v>100000</v>
      </c>
      <c r="L211" s="39"/>
    </row>
    <row r="212" spans="1:12" ht="12.75">
      <c r="A212" s="39"/>
      <c r="B212" s="39"/>
      <c r="C212" s="39"/>
      <c r="D212" s="46" t="s">
        <v>61</v>
      </c>
      <c r="E212" s="41"/>
      <c r="F212" s="54"/>
      <c r="G212" s="54"/>
      <c r="H212" s="42">
        <v>50000</v>
      </c>
      <c r="I212" s="42">
        <v>100000</v>
      </c>
      <c r="J212" s="42">
        <v>100000</v>
      </c>
      <c r="K212" s="42">
        <v>100000</v>
      </c>
      <c r="L212" s="39"/>
    </row>
    <row r="213" spans="1:12" ht="12.75">
      <c r="A213" s="39"/>
      <c r="B213" s="39"/>
      <c r="C213" s="39"/>
      <c r="D213" s="39"/>
      <c r="E213" s="41"/>
      <c r="F213" s="54"/>
      <c r="G213" s="54"/>
      <c r="H213" s="54"/>
      <c r="I213" s="54"/>
      <c r="J213" s="54"/>
      <c r="K213" s="54"/>
      <c r="L213" s="39"/>
    </row>
    <row r="214" spans="1:12" ht="38.25">
      <c r="A214" s="39"/>
      <c r="B214" s="39"/>
      <c r="C214" s="39"/>
      <c r="D214" s="46" t="s">
        <v>100</v>
      </c>
      <c r="E214" s="36">
        <v>2022</v>
      </c>
      <c r="F214" s="50">
        <v>299800</v>
      </c>
      <c r="G214" s="50">
        <v>0</v>
      </c>
      <c r="H214" s="50">
        <v>0</v>
      </c>
      <c r="I214" s="50">
        <v>299800</v>
      </c>
      <c r="J214" s="50">
        <v>0</v>
      </c>
      <c r="K214" s="50">
        <v>0</v>
      </c>
      <c r="L214" s="41">
        <v>100</v>
      </c>
    </row>
    <row r="215" spans="1:12" ht="38.25">
      <c r="A215" s="39"/>
      <c r="B215" s="39"/>
      <c r="C215" s="39"/>
      <c r="D215" s="46" t="s">
        <v>101</v>
      </c>
      <c r="E215" s="36">
        <v>2022</v>
      </c>
      <c r="F215" s="50">
        <v>299000</v>
      </c>
      <c r="G215" s="50">
        <v>0</v>
      </c>
      <c r="H215" s="50"/>
      <c r="I215" s="50">
        <v>299000</v>
      </c>
      <c r="J215" s="50"/>
      <c r="K215" s="50"/>
      <c r="L215" s="41">
        <v>100</v>
      </c>
    </row>
    <row r="216" spans="1:12" ht="12.75">
      <c r="A216" s="39"/>
      <c r="B216" s="39"/>
      <c r="C216" s="39"/>
      <c r="D216" s="39"/>
      <c r="E216" s="41"/>
      <c r="F216" s="54"/>
      <c r="G216" s="54"/>
      <c r="H216" s="54"/>
      <c r="I216" s="54"/>
      <c r="J216" s="54"/>
      <c r="K216" s="54"/>
      <c r="L216" s="39"/>
    </row>
    <row r="217" spans="1:12" ht="12.75">
      <c r="A217" s="39"/>
      <c r="B217" s="39"/>
      <c r="C217" s="39"/>
      <c r="D217" s="39"/>
      <c r="E217" s="41"/>
      <c r="F217" s="54"/>
      <c r="G217" s="54"/>
      <c r="H217" s="54"/>
      <c r="I217" s="54"/>
      <c r="J217" s="54"/>
      <c r="K217" s="54"/>
      <c r="L217" s="39"/>
    </row>
    <row r="218" spans="1:12" ht="36.75" customHeight="1">
      <c r="A218" s="39"/>
      <c r="B218" s="39"/>
      <c r="C218" s="35" t="s">
        <v>31</v>
      </c>
      <c r="D218" s="39"/>
      <c r="E218" s="41"/>
      <c r="F218" s="52">
        <f t="shared" ref="F218:K218" si="22">F219+F225</f>
        <v>14005000</v>
      </c>
      <c r="G218" s="52">
        <f t="shared" si="22"/>
        <v>40400</v>
      </c>
      <c r="H218" s="52">
        <f t="shared" si="22"/>
        <v>918000</v>
      </c>
      <c r="I218" s="52">
        <f t="shared" si="22"/>
        <v>1000000</v>
      </c>
      <c r="J218" s="52">
        <f t="shared" si="22"/>
        <v>6000000</v>
      </c>
      <c r="K218" s="52">
        <f t="shared" si="22"/>
        <v>6500000</v>
      </c>
      <c r="L218" s="71"/>
    </row>
    <row r="219" spans="1:12" ht="51">
      <c r="A219" s="72" t="s">
        <v>32</v>
      </c>
      <c r="B219" s="33" t="s">
        <v>33</v>
      </c>
      <c r="C219" s="55" t="s">
        <v>34</v>
      </c>
      <c r="D219" s="39"/>
      <c r="E219" s="41"/>
      <c r="F219" s="52">
        <f t="shared" ref="F219:K219" si="23">SUM(F220:F223)</f>
        <v>6675000</v>
      </c>
      <c r="G219" s="52">
        <f t="shared" si="23"/>
        <v>40400</v>
      </c>
      <c r="H219" s="52">
        <f t="shared" si="23"/>
        <v>0</v>
      </c>
      <c r="I219" s="52">
        <f t="shared" si="23"/>
        <v>500000</v>
      </c>
      <c r="J219" s="52">
        <f t="shared" si="23"/>
        <v>3000000</v>
      </c>
      <c r="K219" s="52">
        <f t="shared" si="23"/>
        <v>3250000</v>
      </c>
      <c r="L219" s="71"/>
    </row>
    <row r="220" spans="1:12" ht="21" customHeight="1">
      <c r="A220" s="39"/>
      <c r="B220" s="39"/>
      <c r="C220" s="39"/>
      <c r="D220" s="46" t="s">
        <v>35</v>
      </c>
      <c r="E220" s="41"/>
      <c r="F220" s="42"/>
      <c r="G220" s="42">
        <v>40400</v>
      </c>
      <c r="H220" s="42"/>
      <c r="I220" s="42">
        <v>75000</v>
      </c>
      <c r="J220" s="42"/>
      <c r="K220" s="42"/>
      <c r="L220" s="71"/>
    </row>
    <row r="221" spans="1:12" ht="22.5" customHeight="1">
      <c r="A221" s="39"/>
      <c r="B221" s="39"/>
      <c r="C221" s="39"/>
      <c r="D221" s="40" t="s">
        <v>301</v>
      </c>
      <c r="E221" s="41">
        <v>2023</v>
      </c>
      <c r="F221" s="42">
        <v>2000000</v>
      </c>
      <c r="G221" s="42"/>
      <c r="H221" s="42"/>
      <c r="I221" s="42"/>
      <c r="J221" s="42">
        <v>2000000</v>
      </c>
      <c r="K221" s="42"/>
      <c r="L221" s="42">
        <v>100</v>
      </c>
    </row>
    <row r="222" spans="1:12" ht="36" customHeight="1">
      <c r="A222" s="39"/>
      <c r="B222" s="39"/>
      <c r="C222" s="39"/>
      <c r="D222" s="40" t="s">
        <v>40</v>
      </c>
      <c r="E222" s="41" t="s">
        <v>109</v>
      </c>
      <c r="F222" s="42">
        <v>1425000</v>
      </c>
      <c r="G222" s="42"/>
      <c r="H222" s="42"/>
      <c r="I222" s="42">
        <v>425000</v>
      </c>
      <c r="J222" s="42">
        <v>1000000</v>
      </c>
      <c r="K222" s="42"/>
      <c r="L222" s="42">
        <v>100</v>
      </c>
    </row>
    <row r="223" spans="1:12" ht="25.5">
      <c r="A223" s="39"/>
      <c r="B223" s="39"/>
      <c r="C223" s="39"/>
      <c r="D223" s="40" t="s">
        <v>102</v>
      </c>
      <c r="E223" s="41">
        <v>2024</v>
      </c>
      <c r="F223" s="42">
        <v>3250000</v>
      </c>
      <c r="G223" s="42"/>
      <c r="H223" s="42"/>
      <c r="I223" s="42"/>
      <c r="J223" s="42"/>
      <c r="K223" s="42">
        <v>3250000</v>
      </c>
      <c r="L223" s="42">
        <v>100</v>
      </c>
    </row>
    <row r="224" spans="1:12" ht="12.75">
      <c r="A224" s="39"/>
      <c r="B224" s="39"/>
      <c r="C224" s="39"/>
      <c r="D224" s="39"/>
      <c r="E224" s="41"/>
      <c r="F224" s="42"/>
      <c r="G224" s="42"/>
      <c r="H224" s="42"/>
      <c r="I224" s="42"/>
      <c r="J224" s="42"/>
      <c r="K224" s="42"/>
      <c r="L224" s="39"/>
    </row>
    <row r="225" spans="1:12" ht="112.5" customHeight="1">
      <c r="A225" s="33" t="s">
        <v>41</v>
      </c>
      <c r="B225" s="70">
        <v>3100</v>
      </c>
      <c r="C225" s="40" t="s">
        <v>43</v>
      </c>
      <c r="D225" s="39"/>
      <c r="E225" s="41"/>
      <c r="F225" s="52">
        <f t="shared" ref="F225:K225" si="24">F226</f>
        <v>7330000</v>
      </c>
      <c r="G225" s="52">
        <f t="shared" si="24"/>
        <v>0</v>
      </c>
      <c r="H225" s="52">
        <f t="shared" si="24"/>
        <v>918000</v>
      </c>
      <c r="I225" s="52">
        <f t="shared" si="24"/>
        <v>500000</v>
      </c>
      <c r="J225" s="52">
        <f t="shared" si="24"/>
        <v>3000000</v>
      </c>
      <c r="K225" s="52">
        <f t="shared" si="24"/>
        <v>3250000</v>
      </c>
      <c r="L225" s="39"/>
    </row>
    <row r="226" spans="1:12" ht="51" customHeight="1">
      <c r="A226" s="33" t="s">
        <v>42</v>
      </c>
      <c r="B226" s="70">
        <v>3105</v>
      </c>
      <c r="C226" s="40" t="s">
        <v>44</v>
      </c>
      <c r="D226" s="39"/>
      <c r="E226" s="41"/>
      <c r="F226" s="52">
        <f t="shared" ref="F226:K226" si="25">SUM(F227:F232)</f>
        <v>7330000</v>
      </c>
      <c r="G226" s="52">
        <f t="shared" si="25"/>
        <v>0</v>
      </c>
      <c r="H226" s="52">
        <f t="shared" si="25"/>
        <v>918000</v>
      </c>
      <c r="I226" s="52">
        <f t="shared" si="25"/>
        <v>500000</v>
      </c>
      <c r="J226" s="52">
        <f t="shared" si="25"/>
        <v>3000000</v>
      </c>
      <c r="K226" s="52">
        <f t="shared" si="25"/>
        <v>3250000</v>
      </c>
      <c r="L226" s="39"/>
    </row>
    <row r="227" spans="1:12" ht="18" customHeight="1">
      <c r="A227" s="39"/>
      <c r="B227" s="39"/>
      <c r="C227" s="39"/>
      <c r="D227" s="46" t="s">
        <v>35</v>
      </c>
      <c r="E227" s="41"/>
      <c r="F227" s="42"/>
      <c r="G227" s="42"/>
      <c r="H227" s="42"/>
      <c r="I227" s="42">
        <v>278000</v>
      </c>
      <c r="J227" s="42"/>
      <c r="K227" s="42">
        <v>60000</v>
      </c>
      <c r="L227" s="41">
        <v>100</v>
      </c>
    </row>
    <row r="228" spans="1:12" ht="30" customHeight="1">
      <c r="A228" s="39"/>
      <c r="B228" s="39"/>
      <c r="C228" s="39"/>
      <c r="D228" s="46" t="s">
        <v>331</v>
      </c>
      <c r="E228" s="41"/>
      <c r="F228" s="42">
        <v>800000</v>
      </c>
      <c r="G228" s="42"/>
      <c r="H228" s="42"/>
      <c r="I228" s="42"/>
      <c r="J228" s="42">
        <v>800000</v>
      </c>
      <c r="K228" s="42"/>
      <c r="L228" s="41">
        <v>100</v>
      </c>
    </row>
    <row r="229" spans="1:12" ht="25.5">
      <c r="A229" s="39"/>
      <c r="B229" s="39"/>
      <c r="C229" s="39"/>
      <c r="D229" s="40" t="s">
        <v>103</v>
      </c>
      <c r="E229" s="41"/>
      <c r="F229" s="42">
        <v>3000000</v>
      </c>
      <c r="G229" s="42"/>
      <c r="H229" s="42"/>
      <c r="I229" s="42"/>
      <c r="J229" s="42">
        <v>1500000</v>
      </c>
      <c r="K229" s="42">
        <v>1500000</v>
      </c>
      <c r="L229" s="41">
        <v>100</v>
      </c>
    </row>
    <row r="230" spans="1:12" ht="25.5">
      <c r="A230" s="39"/>
      <c r="B230" s="39"/>
      <c r="C230" s="39"/>
      <c r="D230" s="40" t="s">
        <v>332</v>
      </c>
      <c r="E230" s="41"/>
      <c r="F230" s="42">
        <v>700000</v>
      </c>
      <c r="G230" s="42"/>
      <c r="H230" s="42"/>
      <c r="I230" s="42"/>
      <c r="J230" s="42">
        <v>700000</v>
      </c>
      <c r="K230" s="42"/>
      <c r="L230" s="41">
        <v>100</v>
      </c>
    </row>
    <row r="231" spans="1:12" ht="25.5">
      <c r="A231" s="39"/>
      <c r="B231" s="39"/>
      <c r="C231" s="39"/>
      <c r="D231" s="40" t="s">
        <v>333</v>
      </c>
      <c r="E231" s="41"/>
      <c r="F231" s="42">
        <v>1690000</v>
      </c>
      <c r="G231" s="42"/>
      <c r="H231" s="42"/>
      <c r="I231" s="42"/>
      <c r="J231" s="42"/>
      <c r="K231" s="42">
        <v>1690000</v>
      </c>
      <c r="L231" s="41">
        <v>100</v>
      </c>
    </row>
    <row r="232" spans="1:12" ht="38.25">
      <c r="A232" s="39"/>
      <c r="B232" s="39"/>
      <c r="C232" s="39"/>
      <c r="D232" s="73" t="s">
        <v>45</v>
      </c>
      <c r="E232" s="41" t="s">
        <v>46</v>
      </c>
      <c r="F232" s="42">
        <v>1140000</v>
      </c>
      <c r="G232" s="42"/>
      <c r="H232" s="42">
        <v>918000</v>
      </c>
      <c r="I232" s="42">
        <v>222000</v>
      </c>
      <c r="J232" s="42"/>
      <c r="K232" s="42"/>
      <c r="L232" s="41">
        <v>100</v>
      </c>
    </row>
    <row r="233" spans="1:12" ht="12.75">
      <c r="A233" s="39"/>
      <c r="B233" s="39"/>
      <c r="C233" s="39"/>
      <c r="D233" s="39"/>
      <c r="E233" s="41"/>
      <c r="F233" s="54"/>
      <c r="G233" s="54"/>
      <c r="H233" s="54"/>
      <c r="I233" s="54"/>
      <c r="J233" s="54"/>
      <c r="K233" s="54"/>
      <c r="L233" s="39"/>
    </row>
    <row r="234" spans="1:12" ht="20.25" customHeight="1">
      <c r="A234" s="39"/>
      <c r="B234" s="39"/>
      <c r="C234" s="55" t="s">
        <v>104</v>
      </c>
      <c r="D234" s="39"/>
      <c r="E234" s="41"/>
      <c r="F234" s="52">
        <f t="shared" ref="F234:K234" si="26">F235+F238+F244+F247</f>
        <v>623125</v>
      </c>
      <c r="G234" s="52">
        <f t="shared" si="26"/>
        <v>298515</v>
      </c>
      <c r="H234" s="52">
        <f t="shared" si="26"/>
        <v>840000</v>
      </c>
      <c r="I234" s="52">
        <f t="shared" si="26"/>
        <v>560315</v>
      </c>
      <c r="J234" s="52">
        <f t="shared" si="26"/>
        <v>620315</v>
      </c>
      <c r="K234" s="52">
        <f t="shared" si="26"/>
        <v>620315</v>
      </c>
      <c r="L234" s="39"/>
    </row>
    <row r="235" spans="1:12" s="1" customFormat="1" ht="77.25" customHeight="1">
      <c r="A235" s="74">
        <v>1011080</v>
      </c>
      <c r="B235" s="74">
        <v>1080</v>
      </c>
      <c r="C235" s="55" t="s">
        <v>108</v>
      </c>
      <c r="D235" s="39"/>
      <c r="E235" s="41"/>
      <c r="F235" s="52">
        <f t="shared" ref="F235:K235" si="27">SUM(F236:F236)</f>
        <v>0</v>
      </c>
      <c r="G235" s="52">
        <f t="shared" si="27"/>
        <v>0</v>
      </c>
      <c r="H235" s="52">
        <f t="shared" si="27"/>
        <v>0</v>
      </c>
      <c r="I235" s="52">
        <f t="shared" si="27"/>
        <v>60315</v>
      </c>
      <c r="J235" s="52">
        <f t="shared" si="27"/>
        <v>120315</v>
      </c>
      <c r="K235" s="52">
        <f t="shared" si="27"/>
        <v>120315</v>
      </c>
      <c r="L235" s="39"/>
    </row>
    <row r="236" spans="1:12" s="1" customFormat="1" ht="24.75" customHeight="1">
      <c r="A236" s="39"/>
      <c r="B236" s="39"/>
      <c r="C236" s="75"/>
      <c r="D236" s="40" t="s">
        <v>483</v>
      </c>
      <c r="E236" s="41"/>
      <c r="F236" s="42"/>
      <c r="G236" s="42"/>
      <c r="H236" s="42"/>
      <c r="I236" s="42">
        <v>60315</v>
      </c>
      <c r="J236" s="42">
        <v>120315</v>
      </c>
      <c r="K236" s="42">
        <v>120315</v>
      </c>
      <c r="L236" s="41">
        <v>100</v>
      </c>
    </row>
    <row r="237" spans="1:12" s="1" customFormat="1" ht="12.75">
      <c r="A237" s="39"/>
      <c r="B237" s="39"/>
      <c r="C237" s="75"/>
      <c r="D237" s="39"/>
      <c r="E237" s="41"/>
      <c r="F237" s="42"/>
      <c r="G237" s="42"/>
      <c r="H237" s="42"/>
      <c r="I237" s="42"/>
      <c r="J237" s="42"/>
      <c r="K237" s="42"/>
      <c r="L237" s="39"/>
    </row>
    <row r="238" spans="1:12" ht="25.5">
      <c r="A238" s="33" t="s">
        <v>105</v>
      </c>
      <c r="B238" s="33" t="s">
        <v>106</v>
      </c>
      <c r="C238" s="55" t="s">
        <v>107</v>
      </c>
      <c r="D238" s="39"/>
      <c r="E238" s="41"/>
      <c r="F238" s="52">
        <f t="shared" ref="F238:K238" si="28">SUM(F239:F242)</f>
        <v>340000</v>
      </c>
      <c r="G238" s="52">
        <f t="shared" si="28"/>
        <v>100000</v>
      </c>
      <c r="H238" s="52">
        <f t="shared" si="28"/>
        <v>440000</v>
      </c>
      <c r="I238" s="52">
        <f t="shared" si="28"/>
        <v>100000</v>
      </c>
      <c r="J238" s="52">
        <f t="shared" si="28"/>
        <v>100000</v>
      </c>
      <c r="K238" s="52">
        <f t="shared" si="28"/>
        <v>100000</v>
      </c>
      <c r="L238" s="39"/>
    </row>
    <row r="239" spans="1:12" ht="23.25" customHeight="1">
      <c r="A239" s="39"/>
      <c r="B239" s="39"/>
      <c r="C239" s="39"/>
      <c r="D239" s="40" t="s">
        <v>61</v>
      </c>
      <c r="E239" s="41"/>
      <c r="F239" s="42"/>
      <c r="G239" s="42">
        <v>100000</v>
      </c>
      <c r="H239" s="42">
        <v>100000</v>
      </c>
      <c r="I239" s="42"/>
      <c r="J239" s="42"/>
      <c r="K239" s="42"/>
      <c r="L239" s="41">
        <v>100</v>
      </c>
    </row>
    <row r="240" spans="1:12" ht="23.25" customHeight="1">
      <c r="A240" s="39"/>
      <c r="B240" s="39"/>
      <c r="C240" s="39"/>
      <c r="D240" s="40" t="s">
        <v>111</v>
      </c>
      <c r="E240" s="41"/>
      <c r="F240" s="42"/>
      <c r="G240" s="42"/>
      <c r="H240" s="42"/>
      <c r="I240" s="42">
        <v>100000</v>
      </c>
      <c r="J240" s="42">
        <v>100000</v>
      </c>
      <c r="K240" s="42">
        <v>100000</v>
      </c>
      <c r="L240" s="41">
        <v>100</v>
      </c>
    </row>
    <row r="241" spans="1:12" ht="25.5">
      <c r="A241" s="39"/>
      <c r="B241" s="39"/>
      <c r="C241" s="39"/>
      <c r="D241" s="40" t="s">
        <v>112</v>
      </c>
      <c r="E241" s="41">
        <v>2021</v>
      </c>
      <c r="F241" s="42">
        <v>40000</v>
      </c>
      <c r="G241" s="42"/>
      <c r="H241" s="43">
        <f>40000</f>
        <v>40000</v>
      </c>
      <c r="I241" s="42"/>
      <c r="J241" s="42"/>
      <c r="K241" s="42"/>
      <c r="L241" s="41">
        <v>100</v>
      </c>
    </row>
    <row r="242" spans="1:12" ht="38.25">
      <c r="A242" s="39"/>
      <c r="B242" s="39"/>
      <c r="C242" s="39"/>
      <c r="D242" s="40" t="s">
        <v>113</v>
      </c>
      <c r="E242" s="41">
        <v>2021</v>
      </c>
      <c r="F242" s="42">
        <v>300000</v>
      </c>
      <c r="G242" s="42"/>
      <c r="H242" s="43">
        <f>300000</f>
        <v>300000</v>
      </c>
      <c r="I242" s="42"/>
      <c r="J242" s="42"/>
      <c r="K242" s="42"/>
      <c r="L242" s="41">
        <v>100</v>
      </c>
    </row>
    <row r="243" spans="1:12" ht="12.75">
      <c r="A243" s="39"/>
      <c r="B243" s="39"/>
      <c r="C243" s="39"/>
      <c r="D243" s="39"/>
      <c r="E243" s="41"/>
      <c r="F243" s="42"/>
      <c r="G243" s="42"/>
      <c r="H243" s="42"/>
      <c r="I243" s="42"/>
      <c r="J243" s="42"/>
      <c r="K243" s="42"/>
      <c r="L243" s="39"/>
    </row>
    <row r="244" spans="1:12" ht="36.75" customHeight="1">
      <c r="A244" s="33" t="s">
        <v>114</v>
      </c>
      <c r="B244" s="33" t="s">
        <v>115</v>
      </c>
      <c r="C244" s="44" t="s">
        <v>116</v>
      </c>
      <c r="D244" s="39"/>
      <c r="E244" s="41"/>
      <c r="F244" s="52">
        <f t="shared" ref="F244:K244" si="29">SUM(F245)</f>
        <v>0</v>
      </c>
      <c r="G244" s="52">
        <f t="shared" si="29"/>
        <v>0</v>
      </c>
      <c r="H244" s="52">
        <f t="shared" si="29"/>
        <v>0</v>
      </c>
      <c r="I244" s="52">
        <f t="shared" si="29"/>
        <v>100000</v>
      </c>
      <c r="J244" s="52">
        <f t="shared" si="29"/>
        <v>100000</v>
      </c>
      <c r="K244" s="52">
        <f t="shared" si="29"/>
        <v>100000</v>
      </c>
      <c r="L244" s="39"/>
    </row>
    <row r="245" spans="1:12" ht="21" customHeight="1">
      <c r="A245" s="39"/>
      <c r="B245" s="39"/>
      <c r="C245" s="39"/>
      <c r="D245" s="40" t="s">
        <v>111</v>
      </c>
      <c r="E245" s="41"/>
      <c r="F245" s="42"/>
      <c r="G245" s="42"/>
      <c r="H245" s="42"/>
      <c r="I245" s="42">
        <v>100000</v>
      </c>
      <c r="J245" s="42">
        <v>100000</v>
      </c>
      <c r="K245" s="42">
        <v>100000</v>
      </c>
      <c r="L245" s="41">
        <v>100</v>
      </c>
    </row>
    <row r="246" spans="1:12" ht="12.75">
      <c r="A246" s="39"/>
      <c r="B246" s="39"/>
      <c r="C246" s="39"/>
      <c r="D246" s="39"/>
      <c r="E246" s="41"/>
      <c r="F246" s="42"/>
      <c r="G246" s="42"/>
      <c r="H246" s="42"/>
      <c r="I246" s="42"/>
      <c r="J246" s="42"/>
      <c r="K246" s="42"/>
      <c r="L246" s="41"/>
    </row>
    <row r="247" spans="1:12" ht="75.75" customHeight="1">
      <c r="A247" s="60">
        <v>1014060</v>
      </c>
      <c r="B247" s="57">
        <v>4060</v>
      </c>
      <c r="C247" s="55" t="s">
        <v>117</v>
      </c>
      <c r="D247" s="39"/>
      <c r="E247" s="41"/>
      <c r="F247" s="52">
        <f t="shared" ref="F247:K247" si="30">SUM(F248:F253)</f>
        <v>283125</v>
      </c>
      <c r="G247" s="52">
        <f t="shared" si="30"/>
        <v>198515</v>
      </c>
      <c r="H247" s="52">
        <f t="shared" si="30"/>
        <v>400000</v>
      </c>
      <c r="I247" s="52">
        <f t="shared" si="30"/>
        <v>300000</v>
      </c>
      <c r="J247" s="52">
        <f t="shared" si="30"/>
        <v>300000</v>
      </c>
      <c r="K247" s="52">
        <f t="shared" si="30"/>
        <v>300000</v>
      </c>
      <c r="L247" s="41"/>
    </row>
    <row r="248" spans="1:12" ht="24" customHeight="1">
      <c r="A248" s="39"/>
      <c r="B248" s="39"/>
      <c r="C248" s="39"/>
      <c r="D248" s="40" t="s">
        <v>35</v>
      </c>
      <c r="E248" s="41"/>
      <c r="F248" s="42"/>
      <c r="G248" s="42">
        <v>15390</v>
      </c>
      <c r="H248" s="42">
        <v>300000</v>
      </c>
      <c r="I248" s="42"/>
      <c r="J248" s="42"/>
      <c r="K248" s="42"/>
      <c r="L248" s="41"/>
    </row>
    <row r="249" spans="1:12" ht="24" customHeight="1">
      <c r="A249" s="39"/>
      <c r="B249" s="39"/>
      <c r="C249" s="39"/>
      <c r="D249" s="40" t="s">
        <v>484</v>
      </c>
      <c r="E249" s="41"/>
      <c r="F249" s="42"/>
      <c r="G249" s="42"/>
      <c r="H249" s="42"/>
      <c r="I249" s="42">
        <v>200000</v>
      </c>
      <c r="J249" s="42">
        <v>200000</v>
      </c>
      <c r="K249" s="42">
        <v>200000</v>
      </c>
      <c r="L249" s="41">
        <v>100</v>
      </c>
    </row>
    <row r="250" spans="1:12" ht="28.5" customHeight="1">
      <c r="A250" s="39"/>
      <c r="B250" s="39"/>
      <c r="C250" s="39"/>
      <c r="D250" s="40" t="s">
        <v>485</v>
      </c>
      <c r="E250" s="41"/>
      <c r="F250" s="42"/>
      <c r="G250" s="42"/>
      <c r="H250" s="42"/>
      <c r="I250" s="42">
        <v>100000</v>
      </c>
      <c r="J250" s="42">
        <v>100000</v>
      </c>
      <c r="K250" s="42">
        <v>100000</v>
      </c>
      <c r="L250" s="41">
        <v>100</v>
      </c>
    </row>
    <row r="251" spans="1:12" ht="12.75">
      <c r="A251" s="39"/>
      <c r="B251" s="39"/>
      <c r="C251" s="39"/>
      <c r="D251" s="39"/>
      <c r="E251" s="41"/>
      <c r="F251" s="42"/>
      <c r="G251" s="42"/>
      <c r="H251" s="42"/>
      <c r="I251" s="42"/>
      <c r="J251" s="42"/>
      <c r="K251" s="42"/>
      <c r="L251" s="39"/>
    </row>
    <row r="252" spans="1:12" ht="51">
      <c r="A252" s="39"/>
      <c r="B252" s="39"/>
      <c r="C252" s="39"/>
      <c r="D252" s="46" t="s">
        <v>118</v>
      </c>
      <c r="E252" s="41">
        <v>2020</v>
      </c>
      <c r="F252" s="50">
        <v>183125</v>
      </c>
      <c r="G252" s="50">
        <v>183125</v>
      </c>
      <c r="H252" s="42"/>
      <c r="I252" s="42"/>
      <c r="J252" s="42"/>
      <c r="K252" s="42"/>
      <c r="L252" s="41">
        <v>100</v>
      </c>
    </row>
    <row r="253" spans="1:12" ht="25.5">
      <c r="A253" s="39"/>
      <c r="B253" s="39"/>
      <c r="C253" s="39"/>
      <c r="D253" s="40" t="s">
        <v>119</v>
      </c>
      <c r="E253" s="41">
        <v>2021</v>
      </c>
      <c r="F253" s="42">
        <v>100000</v>
      </c>
      <c r="G253" s="42"/>
      <c r="H253" s="42">
        <v>100000</v>
      </c>
      <c r="I253" s="42"/>
      <c r="J253" s="42"/>
      <c r="K253" s="42"/>
      <c r="L253" s="41">
        <v>100</v>
      </c>
    </row>
    <row r="254" spans="1:12" ht="12.75">
      <c r="A254" s="39"/>
      <c r="B254" s="39"/>
      <c r="C254" s="39"/>
      <c r="D254" s="39"/>
      <c r="E254" s="41"/>
      <c r="F254" s="54"/>
      <c r="G254" s="54"/>
      <c r="H254" s="54"/>
      <c r="I254" s="54"/>
      <c r="J254" s="54"/>
      <c r="K254" s="54"/>
      <c r="L254" s="39"/>
    </row>
    <row r="255" spans="1:12" ht="35.25" customHeight="1">
      <c r="A255" s="39"/>
      <c r="B255" s="39"/>
      <c r="C255" s="35" t="s">
        <v>120</v>
      </c>
      <c r="D255" s="39"/>
      <c r="E255" s="41"/>
      <c r="F255" s="52">
        <f t="shared" ref="F255:K256" si="31">F256</f>
        <v>8470741</v>
      </c>
      <c r="G255" s="52">
        <f t="shared" si="31"/>
        <v>900000</v>
      </c>
      <c r="H255" s="52">
        <f t="shared" si="31"/>
        <v>800000</v>
      </c>
      <c r="I255" s="52">
        <f t="shared" si="31"/>
        <v>500000</v>
      </c>
      <c r="J255" s="52">
        <f t="shared" si="31"/>
        <v>1000000</v>
      </c>
      <c r="K255" s="52">
        <f t="shared" si="31"/>
        <v>1000000</v>
      </c>
      <c r="L255" s="41"/>
    </row>
    <row r="256" spans="1:12" ht="51" customHeight="1">
      <c r="A256" s="76" t="s">
        <v>123</v>
      </c>
      <c r="B256" s="77">
        <v>5030</v>
      </c>
      <c r="C256" s="55" t="s">
        <v>121</v>
      </c>
      <c r="D256" s="39"/>
      <c r="E256" s="41"/>
      <c r="F256" s="52">
        <f t="shared" si="31"/>
        <v>8470741</v>
      </c>
      <c r="G256" s="52">
        <f t="shared" si="31"/>
        <v>900000</v>
      </c>
      <c r="H256" s="52">
        <f t="shared" si="31"/>
        <v>800000</v>
      </c>
      <c r="I256" s="52">
        <f t="shared" si="31"/>
        <v>500000</v>
      </c>
      <c r="J256" s="52">
        <f t="shared" si="31"/>
        <v>1000000</v>
      </c>
      <c r="K256" s="52">
        <f t="shared" si="31"/>
        <v>1000000</v>
      </c>
      <c r="L256" s="39"/>
    </row>
    <row r="257" spans="1:12" ht="78" customHeight="1">
      <c r="A257" s="70">
        <v>1115031</v>
      </c>
      <c r="B257" s="70">
        <v>5031</v>
      </c>
      <c r="C257" s="55" t="s">
        <v>122</v>
      </c>
      <c r="D257" s="39"/>
      <c r="E257" s="41"/>
      <c r="F257" s="52">
        <f t="shared" ref="F257:K257" si="32">SUM(F258:F261)</f>
        <v>8470741</v>
      </c>
      <c r="G257" s="52">
        <f t="shared" si="32"/>
        <v>900000</v>
      </c>
      <c r="H257" s="52">
        <f t="shared" si="32"/>
        <v>800000</v>
      </c>
      <c r="I257" s="52">
        <f t="shared" si="32"/>
        <v>500000</v>
      </c>
      <c r="J257" s="52">
        <f t="shared" si="32"/>
        <v>1000000</v>
      </c>
      <c r="K257" s="52">
        <f t="shared" si="32"/>
        <v>1000000</v>
      </c>
      <c r="L257" s="39"/>
    </row>
    <row r="258" spans="1:12" ht="38.25">
      <c r="A258" s="39"/>
      <c r="B258" s="39"/>
      <c r="C258" s="39"/>
      <c r="D258" s="40" t="s">
        <v>124</v>
      </c>
      <c r="E258" s="41">
        <v>2020</v>
      </c>
      <c r="F258" s="42">
        <v>500000</v>
      </c>
      <c r="G258" s="50">
        <f>3240+122486.4+3938+188396.4+89167.2+92772</f>
        <v>500000</v>
      </c>
      <c r="H258" s="42"/>
      <c r="I258" s="42"/>
      <c r="J258" s="42"/>
      <c r="K258" s="42"/>
      <c r="L258" s="41">
        <v>100</v>
      </c>
    </row>
    <row r="259" spans="1:12" ht="38.25">
      <c r="A259" s="39"/>
      <c r="B259" s="39"/>
      <c r="C259" s="39"/>
      <c r="D259" s="40" t="s">
        <v>125</v>
      </c>
      <c r="E259" s="41" t="s">
        <v>224</v>
      </c>
      <c r="F259" s="42">
        <v>802000</v>
      </c>
      <c r="G259" s="50">
        <f>400000</f>
        <v>400000</v>
      </c>
      <c r="H259" s="42"/>
      <c r="I259" s="42"/>
      <c r="J259" s="42"/>
      <c r="K259" s="42"/>
      <c r="L259" s="41">
        <v>100</v>
      </c>
    </row>
    <row r="260" spans="1:12" ht="38.25">
      <c r="A260" s="39"/>
      <c r="B260" s="39"/>
      <c r="C260" s="39"/>
      <c r="D260" s="40" t="s">
        <v>127</v>
      </c>
      <c r="E260" s="41" t="s">
        <v>128</v>
      </c>
      <c r="F260" s="42">
        <v>6141740</v>
      </c>
      <c r="G260" s="42"/>
      <c r="H260" s="42"/>
      <c r="I260" s="42">
        <v>272999</v>
      </c>
      <c r="J260" s="42">
        <v>1000000</v>
      </c>
      <c r="K260" s="42">
        <v>1000000</v>
      </c>
      <c r="L260" s="41">
        <v>37</v>
      </c>
    </row>
    <row r="261" spans="1:12" ht="38.25">
      <c r="A261" s="39"/>
      <c r="B261" s="39"/>
      <c r="C261" s="39"/>
      <c r="D261" s="40" t="s">
        <v>126</v>
      </c>
      <c r="E261" s="41" t="s">
        <v>46</v>
      </c>
      <c r="F261" s="42">
        <v>1027001</v>
      </c>
      <c r="G261" s="42"/>
      <c r="H261" s="42">
        <v>800000</v>
      </c>
      <c r="I261" s="42">
        <v>227001</v>
      </c>
      <c r="J261" s="42"/>
      <c r="K261" s="42"/>
      <c r="L261" s="41">
        <v>100</v>
      </c>
    </row>
    <row r="262" spans="1:12" ht="12.75">
      <c r="A262" s="39"/>
      <c r="B262" s="39"/>
      <c r="C262" s="39"/>
      <c r="D262" s="39"/>
      <c r="E262" s="41"/>
      <c r="F262" s="54"/>
      <c r="G262" s="54"/>
      <c r="H262" s="54"/>
      <c r="I262" s="54"/>
      <c r="J262" s="54"/>
      <c r="K262" s="54"/>
      <c r="L262" s="39"/>
    </row>
    <row r="263" spans="1:12" ht="42.75" customHeight="1">
      <c r="A263" s="39"/>
      <c r="B263" s="39"/>
      <c r="C263" s="55" t="s">
        <v>129</v>
      </c>
      <c r="D263" s="39"/>
      <c r="E263" s="41"/>
      <c r="F263" s="52">
        <f t="shared" ref="F263:K263" si="33">F264+F269+F451+F454+F468+F473</f>
        <v>326885618.60435385</v>
      </c>
      <c r="G263" s="52">
        <f t="shared" si="33"/>
        <v>12140012.390000006</v>
      </c>
      <c r="H263" s="52">
        <f t="shared" si="33"/>
        <v>51593249</v>
      </c>
      <c r="I263" s="52">
        <f t="shared" si="33"/>
        <v>29520623</v>
      </c>
      <c r="J263" s="52">
        <f t="shared" si="33"/>
        <v>76330796</v>
      </c>
      <c r="K263" s="52">
        <f t="shared" si="33"/>
        <v>96091268</v>
      </c>
      <c r="L263" s="39"/>
    </row>
    <row r="264" spans="1:12" ht="63.75">
      <c r="A264" s="60">
        <v>3110160</v>
      </c>
      <c r="B264" s="57" t="s">
        <v>33</v>
      </c>
      <c r="C264" s="55" t="s">
        <v>130</v>
      </c>
      <c r="D264" s="39"/>
      <c r="E264" s="41"/>
      <c r="F264" s="52">
        <f t="shared" ref="F264:K264" si="34">SUM(F265:F267)</f>
        <v>354000</v>
      </c>
      <c r="G264" s="52">
        <f t="shared" si="34"/>
        <v>124768</v>
      </c>
      <c r="H264" s="52">
        <f t="shared" si="34"/>
        <v>75000</v>
      </c>
      <c r="I264" s="52">
        <f t="shared" si="34"/>
        <v>200000</v>
      </c>
      <c r="J264" s="52">
        <f t="shared" si="34"/>
        <v>217000</v>
      </c>
      <c r="K264" s="52">
        <f t="shared" si="34"/>
        <v>230000</v>
      </c>
      <c r="L264" s="41"/>
    </row>
    <row r="265" spans="1:12" ht="27" customHeight="1">
      <c r="A265" s="39"/>
      <c r="B265" s="39"/>
      <c r="C265" s="78"/>
      <c r="D265" s="46" t="s">
        <v>35</v>
      </c>
      <c r="E265" s="36"/>
      <c r="F265" s="50"/>
      <c r="G265" s="50">
        <v>124768</v>
      </c>
      <c r="H265" s="50">
        <v>75000</v>
      </c>
      <c r="I265" s="50"/>
      <c r="J265" s="50">
        <v>45000</v>
      </c>
      <c r="K265" s="50">
        <v>48000</v>
      </c>
      <c r="L265" s="36">
        <v>100</v>
      </c>
    </row>
    <row r="266" spans="1:12" ht="30" customHeight="1">
      <c r="A266" s="39"/>
      <c r="B266" s="39"/>
      <c r="C266" s="78"/>
      <c r="D266" s="46" t="s">
        <v>319</v>
      </c>
      <c r="E266" s="36"/>
      <c r="F266" s="50"/>
      <c r="G266" s="50"/>
      <c r="H266" s="50"/>
      <c r="I266" s="50">
        <v>200000</v>
      </c>
      <c r="J266" s="50"/>
      <c r="K266" s="50"/>
      <c r="L266" s="50">
        <v>100</v>
      </c>
    </row>
    <row r="267" spans="1:12" ht="37.5" customHeight="1">
      <c r="A267" s="39"/>
      <c r="B267" s="39"/>
      <c r="C267" s="78"/>
      <c r="D267" s="46" t="s">
        <v>320</v>
      </c>
      <c r="E267" s="36" t="s">
        <v>395</v>
      </c>
      <c r="F267" s="50">
        <f>J267+K267</f>
        <v>354000</v>
      </c>
      <c r="G267" s="50"/>
      <c r="H267" s="50"/>
      <c r="I267" s="50"/>
      <c r="J267" s="50">
        <v>172000</v>
      </c>
      <c r="K267" s="50">
        <v>182000</v>
      </c>
      <c r="L267" s="50">
        <v>100</v>
      </c>
    </row>
    <row r="268" spans="1:12" ht="12.75">
      <c r="A268" s="39"/>
      <c r="B268" s="39"/>
      <c r="C268" s="39"/>
      <c r="D268" s="79"/>
      <c r="E268" s="80"/>
      <c r="F268" s="81"/>
      <c r="G268" s="82"/>
      <c r="H268" s="83"/>
      <c r="I268" s="81"/>
      <c r="J268" s="81"/>
      <c r="K268" s="81"/>
      <c r="L268" s="84"/>
    </row>
    <row r="269" spans="1:12" ht="39.75" customHeight="1">
      <c r="A269" s="70">
        <v>3116030</v>
      </c>
      <c r="B269" s="70">
        <v>6030</v>
      </c>
      <c r="C269" s="44" t="s">
        <v>131</v>
      </c>
      <c r="D269" s="85"/>
      <c r="E269" s="86"/>
      <c r="F269" s="87">
        <f t="shared" ref="F269:K269" si="35">SUM(F270:F449)</f>
        <v>268340547.60435385</v>
      </c>
      <c r="G269" s="87">
        <f t="shared" si="35"/>
        <v>10395415.400000006</v>
      </c>
      <c r="H269" s="87">
        <f t="shared" si="35"/>
        <v>48424249</v>
      </c>
      <c r="I269" s="87">
        <f t="shared" si="35"/>
        <v>29320623</v>
      </c>
      <c r="J269" s="87">
        <f t="shared" si="35"/>
        <v>76113796</v>
      </c>
      <c r="K269" s="87">
        <f t="shared" si="35"/>
        <v>66110349</v>
      </c>
      <c r="L269" s="85"/>
    </row>
    <row r="270" spans="1:12" ht="25.5">
      <c r="A270" s="39"/>
      <c r="B270" s="39"/>
      <c r="C270" s="78"/>
      <c r="D270" s="69" t="s">
        <v>213</v>
      </c>
      <c r="E270" s="88">
        <v>2020</v>
      </c>
      <c r="F270" s="48">
        <f>756578+299597</f>
        <v>1056175</v>
      </c>
      <c r="G270" s="89">
        <v>970702.41999999993</v>
      </c>
      <c r="H270" s="48"/>
      <c r="I270" s="48"/>
      <c r="J270" s="48"/>
      <c r="K270" s="48"/>
      <c r="L270" s="48">
        <v>100</v>
      </c>
    </row>
    <row r="271" spans="1:12" ht="25.5">
      <c r="A271" s="39"/>
      <c r="B271" s="39"/>
      <c r="C271" s="78"/>
      <c r="D271" s="69" t="s">
        <v>214</v>
      </c>
      <c r="E271" s="88">
        <v>2020</v>
      </c>
      <c r="F271" s="48">
        <v>1028860</v>
      </c>
      <c r="G271" s="48">
        <f>3240+4050+628828.8+8264.28</f>
        <v>644383.08000000007</v>
      </c>
      <c r="H271" s="48"/>
      <c r="I271" s="48"/>
      <c r="J271" s="48"/>
      <c r="K271" s="48"/>
      <c r="L271" s="48">
        <v>100</v>
      </c>
    </row>
    <row r="272" spans="1:12" ht="25.5">
      <c r="A272" s="39"/>
      <c r="B272" s="39"/>
      <c r="C272" s="78"/>
      <c r="D272" s="69" t="s">
        <v>215</v>
      </c>
      <c r="E272" s="88">
        <v>2020</v>
      </c>
      <c r="F272" s="48">
        <v>795450</v>
      </c>
      <c r="G272" s="48">
        <v>292924.33</v>
      </c>
      <c r="H272" s="48"/>
      <c r="I272" s="48"/>
      <c r="J272" s="48"/>
      <c r="K272" s="48"/>
      <c r="L272" s="48">
        <f>G272/F272*100</f>
        <v>36.824983342761961</v>
      </c>
    </row>
    <row r="273" spans="1:12" ht="25.5">
      <c r="A273" s="39"/>
      <c r="B273" s="39"/>
      <c r="C273" s="78"/>
      <c r="D273" s="69" t="s">
        <v>216</v>
      </c>
      <c r="E273" s="88">
        <v>2020</v>
      </c>
      <c r="F273" s="48">
        <v>1123003</v>
      </c>
      <c r="G273" s="48">
        <v>744695.15</v>
      </c>
      <c r="H273" s="48"/>
      <c r="I273" s="48"/>
      <c r="J273" s="48"/>
      <c r="K273" s="48"/>
      <c r="L273" s="48">
        <f>100</f>
        <v>100</v>
      </c>
    </row>
    <row r="274" spans="1:12" ht="25.5">
      <c r="A274" s="39"/>
      <c r="B274" s="39"/>
      <c r="C274" s="78"/>
      <c r="D274" s="69" t="s">
        <v>217</v>
      </c>
      <c r="E274" s="88">
        <v>2020</v>
      </c>
      <c r="F274" s="48">
        <v>465485</v>
      </c>
      <c r="G274" s="48">
        <v>397778.47000000003</v>
      </c>
      <c r="H274" s="48"/>
      <c r="I274" s="48"/>
      <c r="J274" s="48"/>
      <c r="K274" s="48"/>
      <c r="L274" s="48">
        <f>100</f>
        <v>100</v>
      </c>
    </row>
    <row r="275" spans="1:12" ht="25.5">
      <c r="A275" s="39"/>
      <c r="B275" s="39"/>
      <c r="C275" s="78"/>
      <c r="D275" s="69" t="s">
        <v>218</v>
      </c>
      <c r="E275" s="88">
        <v>2020</v>
      </c>
      <c r="F275" s="48">
        <v>299952</v>
      </c>
      <c r="G275" s="48">
        <v>4050</v>
      </c>
      <c r="H275" s="48"/>
      <c r="I275" s="48"/>
      <c r="J275" s="48"/>
      <c r="K275" s="48"/>
      <c r="L275" s="48">
        <f>G275/F275*100</f>
        <v>1.3502160345655305</v>
      </c>
    </row>
    <row r="276" spans="1:12" ht="25.5">
      <c r="A276" s="39"/>
      <c r="B276" s="39"/>
      <c r="C276" s="78"/>
      <c r="D276" s="69" t="s">
        <v>219</v>
      </c>
      <c r="E276" s="88" t="s">
        <v>88</v>
      </c>
      <c r="F276" s="48">
        <v>1495586</v>
      </c>
      <c r="G276" s="48">
        <v>8058</v>
      </c>
      <c r="H276" s="48">
        <v>965000</v>
      </c>
      <c r="I276" s="48"/>
      <c r="J276" s="48"/>
      <c r="K276" s="48"/>
      <c r="L276" s="48">
        <v>100</v>
      </c>
    </row>
    <row r="277" spans="1:12" ht="25.5">
      <c r="A277" s="39"/>
      <c r="B277" s="39"/>
      <c r="C277" s="78"/>
      <c r="D277" s="69" t="s">
        <v>220</v>
      </c>
      <c r="E277" s="88">
        <v>2020</v>
      </c>
      <c r="F277" s="48">
        <v>1299594</v>
      </c>
      <c r="G277" s="90">
        <f>5684.21</f>
        <v>5684.21</v>
      </c>
      <c r="H277" s="48"/>
      <c r="I277" s="48"/>
      <c r="J277" s="48"/>
      <c r="K277" s="48"/>
      <c r="L277" s="48">
        <v>1</v>
      </c>
    </row>
    <row r="278" spans="1:12" ht="25.5">
      <c r="A278" s="39"/>
      <c r="B278" s="39"/>
      <c r="C278" s="78"/>
      <c r="D278" s="69" t="s">
        <v>221</v>
      </c>
      <c r="E278" s="88">
        <v>2020</v>
      </c>
      <c r="F278" s="48">
        <v>1497750</v>
      </c>
      <c r="G278" s="48">
        <v>95348.14</v>
      </c>
      <c r="H278" s="48"/>
      <c r="I278" s="48"/>
      <c r="J278" s="48"/>
      <c r="K278" s="48"/>
      <c r="L278" s="48">
        <f>G278/F278*100</f>
        <v>6.3660918043732266</v>
      </c>
    </row>
    <row r="279" spans="1:12" ht="38.25">
      <c r="A279" s="39"/>
      <c r="B279" s="39"/>
      <c r="C279" s="78"/>
      <c r="D279" s="69" t="s">
        <v>222</v>
      </c>
      <c r="E279" s="88">
        <v>2020</v>
      </c>
      <c r="F279" s="48">
        <f>1498592</f>
        <v>1498592</v>
      </c>
      <c r="G279" s="48">
        <v>14040</v>
      </c>
      <c r="H279" s="48"/>
      <c r="I279" s="48"/>
      <c r="J279" s="48"/>
      <c r="K279" s="48"/>
      <c r="L279" s="48">
        <f>G279/F279*100</f>
        <v>0.93687941747987447</v>
      </c>
    </row>
    <row r="280" spans="1:12" ht="15">
      <c r="A280" s="39"/>
      <c r="B280" s="39"/>
      <c r="C280" s="78"/>
      <c r="D280" s="69" t="s">
        <v>223</v>
      </c>
      <c r="E280" s="91" t="s">
        <v>224</v>
      </c>
      <c r="F280" s="92">
        <f>512508+10550</f>
        <v>523058</v>
      </c>
      <c r="G280" s="92">
        <v>10544.21</v>
      </c>
      <c r="H280" s="92"/>
      <c r="I280" s="48"/>
      <c r="J280" s="48">
        <v>512508</v>
      </c>
      <c r="K280" s="48"/>
      <c r="L280" s="48">
        <v>100</v>
      </c>
    </row>
    <row r="281" spans="1:12" ht="25.5">
      <c r="A281" s="39"/>
      <c r="B281" s="39"/>
      <c r="C281" s="78"/>
      <c r="D281" s="69" t="s">
        <v>225</v>
      </c>
      <c r="E281" s="91">
        <v>2020</v>
      </c>
      <c r="F281" s="92">
        <f>799987</f>
        <v>799987</v>
      </c>
      <c r="G281" s="92">
        <v>5684.21</v>
      </c>
      <c r="H281" s="92"/>
      <c r="I281" s="48"/>
      <c r="J281" s="48"/>
      <c r="K281" s="48"/>
      <c r="L281" s="48">
        <f>(G281+H281+I281+J281+K281)/F281*100</f>
        <v>0.71053779623918889</v>
      </c>
    </row>
    <row r="282" spans="1:12" ht="24">
      <c r="A282" s="39"/>
      <c r="B282" s="39"/>
      <c r="C282" s="78"/>
      <c r="D282" s="93" t="s">
        <v>226</v>
      </c>
      <c r="E282" s="91" t="s">
        <v>224</v>
      </c>
      <c r="F282" s="92">
        <v>206403.97435386138</v>
      </c>
      <c r="G282" s="92">
        <v>26887</v>
      </c>
      <c r="H282" s="92"/>
      <c r="I282" s="48"/>
      <c r="J282" s="48"/>
      <c r="K282" s="48"/>
      <c r="L282" s="48">
        <v>100</v>
      </c>
    </row>
    <row r="283" spans="1:12" ht="51">
      <c r="A283" s="39"/>
      <c r="B283" s="39"/>
      <c r="C283" s="78"/>
      <c r="D283" s="69" t="s">
        <v>227</v>
      </c>
      <c r="E283" s="91">
        <v>2020</v>
      </c>
      <c r="F283" s="92">
        <v>140000</v>
      </c>
      <c r="G283" s="92">
        <v>139307.36000000002</v>
      </c>
      <c r="H283" s="92"/>
      <c r="I283" s="48"/>
      <c r="J283" s="48"/>
      <c r="K283" s="48"/>
      <c r="L283" s="48">
        <v>100</v>
      </c>
    </row>
    <row r="284" spans="1:12" ht="25.5">
      <c r="A284" s="39"/>
      <c r="B284" s="39"/>
      <c r="C284" s="78"/>
      <c r="D284" s="69" t="s">
        <v>228</v>
      </c>
      <c r="E284" s="91" t="s">
        <v>224</v>
      </c>
      <c r="F284" s="92">
        <v>95000</v>
      </c>
      <c r="G284" s="92">
        <v>62276.57</v>
      </c>
      <c r="H284" s="92"/>
      <c r="I284" s="48"/>
      <c r="J284" s="48"/>
      <c r="K284" s="48"/>
      <c r="L284" s="48">
        <v>100</v>
      </c>
    </row>
    <row r="285" spans="1:12" ht="25.5">
      <c r="A285" s="39"/>
      <c r="B285" s="39"/>
      <c r="C285" s="78"/>
      <c r="D285" s="69" t="s">
        <v>229</v>
      </c>
      <c r="E285" s="91" t="s">
        <v>224</v>
      </c>
      <c r="F285" s="92">
        <v>100000</v>
      </c>
      <c r="G285" s="92">
        <v>69192.78</v>
      </c>
      <c r="H285" s="92"/>
      <c r="I285" s="48"/>
      <c r="J285" s="48"/>
      <c r="K285" s="48"/>
      <c r="L285" s="48">
        <v>100</v>
      </c>
    </row>
    <row r="286" spans="1:12" ht="25.5">
      <c r="A286" s="39"/>
      <c r="B286" s="39"/>
      <c r="C286" s="78"/>
      <c r="D286" s="69" t="s">
        <v>230</v>
      </c>
      <c r="E286" s="91" t="s">
        <v>231</v>
      </c>
      <c r="F286" s="92">
        <v>95000</v>
      </c>
      <c r="G286" s="92"/>
      <c r="H286" s="92">
        <f>63400</f>
        <v>63400</v>
      </c>
      <c r="I286" s="48"/>
      <c r="J286" s="48"/>
      <c r="K286" s="48"/>
      <c r="L286" s="48">
        <v>100</v>
      </c>
    </row>
    <row r="287" spans="1:12" ht="25.5">
      <c r="A287" s="39"/>
      <c r="B287" s="39"/>
      <c r="C287" s="78"/>
      <c r="D287" s="69" t="s">
        <v>233</v>
      </c>
      <c r="E287" s="91" t="s">
        <v>224</v>
      </c>
      <c r="F287" s="92">
        <v>150000</v>
      </c>
      <c r="G287" s="92">
        <v>103849.15</v>
      </c>
      <c r="H287" s="92"/>
      <c r="I287" s="48"/>
      <c r="J287" s="48"/>
      <c r="K287" s="48"/>
      <c r="L287" s="48">
        <v>100</v>
      </c>
    </row>
    <row r="288" spans="1:12" ht="25.5">
      <c r="A288" s="39"/>
      <c r="B288" s="39"/>
      <c r="C288" s="78"/>
      <c r="D288" s="69" t="s">
        <v>234</v>
      </c>
      <c r="E288" s="91" t="s">
        <v>235</v>
      </c>
      <c r="F288" s="92">
        <f>490768</f>
        <v>490768</v>
      </c>
      <c r="G288" s="92"/>
      <c r="H288" s="92">
        <f>298000</f>
        <v>298000</v>
      </c>
      <c r="I288" s="48"/>
      <c r="J288" s="48"/>
      <c r="K288" s="48"/>
      <c r="L288" s="48">
        <v>100</v>
      </c>
    </row>
    <row r="289" spans="1:12" ht="25.5">
      <c r="A289" s="39"/>
      <c r="B289" s="39"/>
      <c r="C289" s="78"/>
      <c r="D289" s="69" t="s">
        <v>236</v>
      </c>
      <c r="E289" s="91" t="s">
        <v>235</v>
      </c>
      <c r="F289" s="92">
        <f>350836</f>
        <v>350836</v>
      </c>
      <c r="G289" s="92"/>
      <c r="H289" s="92">
        <v>297000</v>
      </c>
      <c r="I289" s="48"/>
      <c r="J289" s="48"/>
      <c r="K289" s="48"/>
      <c r="L289" s="48">
        <v>100</v>
      </c>
    </row>
    <row r="290" spans="1:12" ht="38.25">
      <c r="A290" s="39"/>
      <c r="B290" s="39"/>
      <c r="C290" s="78"/>
      <c r="D290" s="69" t="s">
        <v>237</v>
      </c>
      <c r="E290" s="91" t="s">
        <v>88</v>
      </c>
      <c r="F290" s="92">
        <f>1180994</f>
        <v>1180994</v>
      </c>
      <c r="G290" s="92">
        <f>4860+5684.21</f>
        <v>10544.21</v>
      </c>
      <c r="H290" s="92">
        <v>587578</v>
      </c>
      <c r="I290" s="48"/>
      <c r="J290" s="48"/>
      <c r="K290" s="48"/>
      <c r="L290" s="48">
        <f>(G290+H290+I290+J290+K290)/F290*100</f>
        <v>50.645660350518284</v>
      </c>
    </row>
    <row r="291" spans="1:12" ht="25.5">
      <c r="A291" s="39"/>
      <c r="B291" s="39"/>
      <c r="C291" s="78"/>
      <c r="D291" s="69" t="s">
        <v>238</v>
      </c>
      <c r="E291" s="91" t="s">
        <v>88</v>
      </c>
      <c r="F291" s="92">
        <v>1497149</v>
      </c>
      <c r="G291" s="92">
        <v>301758</v>
      </c>
      <c r="H291" s="92">
        <f>700000</f>
        <v>700000</v>
      </c>
      <c r="I291" s="48"/>
      <c r="J291" s="48"/>
      <c r="K291" s="48"/>
      <c r="L291" s="48">
        <f>(G291+H291+I291+J291+K291)/F291*100</f>
        <v>66.911042254311354</v>
      </c>
    </row>
    <row r="292" spans="1:12" ht="25.5">
      <c r="A292" s="39"/>
      <c r="B292" s="39"/>
      <c r="C292" s="78"/>
      <c r="D292" s="69" t="s">
        <v>239</v>
      </c>
      <c r="E292" s="91" t="s">
        <v>88</v>
      </c>
      <c r="F292" s="92">
        <f>1496340</f>
        <v>1496340</v>
      </c>
      <c r="G292" s="48">
        <v>498263.26</v>
      </c>
      <c r="H292" s="92">
        <v>486260</v>
      </c>
      <c r="I292" s="48"/>
      <c r="J292" s="48"/>
      <c r="K292" s="48"/>
      <c r="L292" s="48">
        <f>(G292+H292+I292+J292+K292)/F292*100</f>
        <v>65.795424836601313</v>
      </c>
    </row>
    <row r="293" spans="1:12" ht="25.5">
      <c r="A293" s="39"/>
      <c r="B293" s="39"/>
      <c r="C293" s="78"/>
      <c r="D293" s="69" t="s">
        <v>240</v>
      </c>
      <c r="E293" s="91">
        <v>2020</v>
      </c>
      <c r="F293" s="92">
        <f>360000</f>
        <v>360000</v>
      </c>
      <c r="G293" s="92">
        <v>294280.51</v>
      </c>
      <c r="H293" s="92"/>
      <c r="I293" s="48"/>
      <c r="J293" s="48"/>
      <c r="K293" s="48"/>
      <c r="L293" s="48">
        <v>100</v>
      </c>
    </row>
    <row r="294" spans="1:12" ht="25.5">
      <c r="A294" s="39"/>
      <c r="B294" s="39"/>
      <c r="C294" s="78"/>
      <c r="D294" s="69" t="s">
        <v>241</v>
      </c>
      <c r="E294" s="91" t="s">
        <v>88</v>
      </c>
      <c r="F294" s="92">
        <f>564626</f>
        <v>564626</v>
      </c>
      <c r="G294" s="92">
        <v>8058</v>
      </c>
      <c r="H294" s="92">
        <v>417531</v>
      </c>
      <c r="I294" s="48"/>
      <c r="J294" s="48"/>
      <c r="K294" s="48"/>
      <c r="L294" s="48">
        <v>100</v>
      </c>
    </row>
    <row r="295" spans="1:12" ht="25.5">
      <c r="A295" s="39"/>
      <c r="B295" s="39"/>
      <c r="C295" s="78"/>
      <c r="D295" s="69" t="s">
        <v>242</v>
      </c>
      <c r="E295" s="91" t="s">
        <v>88</v>
      </c>
      <c r="F295" s="92">
        <f>1272820</f>
        <v>1272820</v>
      </c>
      <c r="G295" s="92">
        <v>4008</v>
      </c>
      <c r="H295" s="92">
        <f>1180000</f>
        <v>1180000</v>
      </c>
      <c r="I295" s="48"/>
      <c r="J295" s="48"/>
      <c r="K295" s="48"/>
      <c r="L295" s="48">
        <v>100</v>
      </c>
    </row>
    <row r="296" spans="1:12" ht="38.25">
      <c r="A296" s="39"/>
      <c r="B296" s="39"/>
      <c r="C296" s="78"/>
      <c r="D296" s="69" t="s">
        <v>243</v>
      </c>
      <c r="E296" s="91" t="s">
        <v>88</v>
      </c>
      <c r="F296" s="92">
        <f>1219517</f>
        <v>1219517</v>
      </c>
      <c r="G296" s="92">
        <v>4008</v>
      </c>
      <c r="H296" s="92">
        <f>1141500</f>
        <v>1141500</v>
      </c>
      <c r="I296" s="48"/>
      <c r="J296" s="48"/>
      <c r="K296" s="48"/>
      <c r="L296" s="48">
        <v>100</v>
      </c>
    </row>
    <row r="297" spans="1:12" ht="25.5">
      <c r="A297" s="39"/>
      <c r="B297" s="39"/>
      <c r="C297" s="78"/>
      <c r="D297" s="69" t="s">
        <v>244</v>
      </c>
      <c r="E297" s="91" t="s">
        <v>88</v>
      </c>
      <c r="F297" s="92">
        <f>1499423</f>
        <v>1499423</v>
      </c>
      <c r="G297" s="92">
        <v>3240</v>
      </c>
      <c r="H297" s="92">
        <v>212150</v>
      </c>
      <c r="I297" s="48">
        <f>212150</f>
        <v>212150</v>
      </c>
      <c r="J297" s="48"/>
      <c r="K297" s="48"/>
      <c r="L297" s="48">
        <f>(G297+H297+I297+J297+K297)/F297*100</f>
        <v>28.513634911562647</v>
      </c>
    </row>
    <row r="298" spans="1:12" ht="25.5">
      <c r="A298" s="39"/>
      <c r="B298" s="39"/>
      <c r="C298" s="78"/>
      <c r="D298" s="69" t="s">
        <v>245</v>
      </c>
      <c r="E298" s="91" t="s">
        <v>88</v>
      </c>
      <c r="F298" s="92">
        <f>424640</f>
        <v>424640</v>
      </c>
      <c r="G298" s="92">
        <v>8271</v>
      </c>
      <c r="H298" s="92">
        <v>377820</v>
      </c>
      <c r="I298" s="48"/>
      <c r="J298" s="48"/>
      <c r="K298" s="48"/>
      <c r="L298" s="48">
        <v>100</v>
      </c>
    </row>
    <row r="299" spans="1:12" ht="15">
      <c r="A299" s="39"/>
      <c r="B299" s="39"/>
      <c r="C299" s="78"/>
      <c r="D299" s="69" t="s">
        <v>246</v>
      </c>
      <c r="E299" s="91">
        <v>2020</v>
      </c>
      <c r="F299" s="92">
        <f>700000</f>
        <v>700000</v>
      </c>
      <c r="G299" s="92">
        <v>686091.04</v>
      </c>
      <c r="H299" s="92"/>
      <c r="I299" s="48"/>
      <c r="J299" s="48"/>
      <c r="K299" s="48"/>
      <c r="L299" s="48">
        <v>100</v>
      </c>
    </row>
    <row r="300" spans="1:12" ht="25.5">
      <c r="A300" s="39"/>
      <c r="B300" s="39"/>
      <c r="C300" s="78"/>
      <c r="D300" s="69" t="s">
        <v>247</v>
      </c>
      <c r="E300" s="91" t="s">
        <v>88</v>
      </c>
      <c r="F300" s="92">
        <v>226700</v>
      </c>
      <c r="G300" s="92">
        <v>226607.22</v>
      </c>
      <c r="H300" s="92"/>
      <c r="I300" s="48"/>
      <c r="J300" s="48"/>
      <c r="K300" s="48"/>
      <c r="L300" s="48">
        <f>100</f>
        <v>100</v>
      </c>
    </row>
    <row r="301" spans="1:12" ht="25.5">
      <c r="A301" s="39"/>
      <c r="B301" s="39"/>
      <c r="C301" s="78"/>
      <c r="D301" s="69" t="s">
        <v>248</v>
      </c>
      <c r="E301" s="91">
        <v>2020</v>
      </c>
      <c r="F301" s="92">
        <f>241759</f>
        <v>241759</v>
      </c>
      <c r="G301" s="92">
        <v>236362.15</v>
      </c>
      <c r="H301" s="92"/>
      <c r="I301" s="48"/>
      <c r="J301" s="48"/>
      <c r="K301" s="48"/>
      <c r="L301" s="48">
        <v>100</v>
      </c>
    </row>
    <row r="302" spans="1:12" ht="25.5">
      <c r="A302" s="39"/>
      <c r="B302" s="39"/>
      <c r="C302" s="78"/>
      <c r="D302" s="69" t="s">
        <v>249</v>
      </c>
      <c r="E302" s="91">
        <v>2020</v>
      </c>
      <c r="F302" s="92">
        <v>295000</v>
      </c>
      <c r="G302" s="92">
        <v>292271.89</v>
      </c>
      <c r="H302" s="92"/>
      <c r="I302" s="48"/>
      <c r="J302" s="48"/>
      <c r="K302" s="48"/>
      <c r="L302" s="48">
        <v>100</v>
      </c>
    </row>
    <row r="303" spans="1:12" ht="25.5">
      <c r="A303" s="39"/>
      <c r="B303" s="39"/>
      <c r="C303" s="78"/>
      <c r="D303" s="69" t="s">
        <v>250</v>
      </c>
      <c r="E303" s="91">
        <v>2020</v>
      </c>
      <c r="F303" s="92">
        <f>377700</f>
        <v>377700</v>
      </c>
      <c r="G303" s="92">
        <v>377667.06</v>
      </c>
      <c r="H303" s="92"/>
      <c r="I303" s="48"/>
      <c r="J303" s="48"/>
      <c r="K303" s="48"/>
      <c r="L303" s="48">
        <v>100</v>
      </c>
    </row>
    <row r="304" spans="1:12" ht="25.5">
      <c r="A304" s="39"/>
      <c r="B304" s="39"/>
      <c r="C304" s="78"/>
      <c r="D304" s="69" t="s">
        <v>251</v>
      </c>
      <c r="E304" s="91">
        <v>2020</v>
      </c>
      <c r="F304" s="92">
        <v>285800</v>
      </c>
      <c r="G304" s="92">
        <v>285728.46999999997</v>
      </c>
      <c r="H304" s="92"/>
      <c r="I304" s="48"/>
      <c r="J304" s="48"/>
      <c r="K304" s="48"/>
      <c r="L304" s="48">
        <v>100</v>
      </c>
    </row>
    <row r="305" spans="1:12" ht="25.5">
      <c r="A305" s="39"/>
      <c r="B305" s="39"/>
      <c r="C305" s="78"/>
      <c r="D305" s="69" t="s">
        <v>252</v>
      </c>
      <c r="E305" s="91">
        <v>2020</v>
      </c>
      <c r="F305" s="92">
        <v>49500</v>
      </c>
      <c r="G305" s="92">
        <v>49500</v>
      </c>
      <c r="H305" s="92"/>
      <c r="I305" s="48"/>
      <c r="J305" s="48"/>
      <c r="K305" s="48"/>
      <c r="L305" s="48">
        <f>(G305+H305+I305+J305+K305)/F305*100</f>
        <v>100</v>
      </c>
    </row>
    <row r="306" spans="1:12" ht="25.5">
      <c r="A306" s="39"/>
      <c r="B306" s="39"/>
      <c r="C306" s="78"/>
      <c r="D306" s="69" t="s">
        <v>253</v>
      </c>
      <c r="E306" s="91" t="s">
        <v>88</v>
      </c>
      <c r="F306" s="92">
        <f>1284447</f>
        <v>1284447</v>
      </c>
      <c r="G306" s="92">
        <v>8271</v>
      </c>
      <c r="H306" s="92">
        <v>843500</v>
      </c>
      <c r="I306" s="48"/>
      <c r="J306" s="48"/>
      <c r="K306" s="48"/>
      <c r="L306" s="48">
        <f>(G306+H306+I306+J306+K306)/F306*100</f>
        <v>66.314219271017009</v>
      </c>
    </row>
    <row r="307" spans="1:12" ht="25.5">
      <c r="A307" s="39"/>
      <c r="B307" s="39"/>
      <c r="C307" s="78"/>
      <c r="D307" s="69" t="s">
        <v>254</v>
      </c>
      <c r="E307" s="91">
        <v>2020</v>
      </c>
      <c r="F307" s="92">
        <f>208350+200000</f>
        <v>408350</v>
      </c>
      <c r="G307" s="92">
        <v>208348.52</v>
      </c>
      <c r="H307" s="92"/>
      <c r="I307" s="48"/>
      <c r="J307" s="48">
        <v>200000</v>
      </c>
      <c r="K307" s="48"/>
      <c r="L307" s="48">
        <v>100</v>
      </c>
    </row>
    <row r="308" spans="1:12" ht="25.5">
      <c r="A308" s="39"/>
      <c r="B308" s="39"/>
      <c r="C308" s="78"/>
      <c r="D308" s="69" t="s">
        <v>255</v>
      </c>
      <c r="E308" s="91" t="s">
        <v>88</v>
      </c>
      <c r="F308" s="92">
        <f>1472332</f>
        <v>1472332</v>
      </c>
      <c r="G308" s="92">
        <v>799531.59</v>
      </c>
      <c r="H308" s="92">
        <v>672800</v>
      </c>
      <c r="I308" s="48"/>
      <c r="J308" s="48"/>
      <c r="K308" s="48"/>
      <c r="L308" s="48">
        <f>(G308+H308+I308+J308+K308)/F308*100</f>
        <v>99.999972153019826</v>
      </c>
    </row>
    <row r="309" spans="1:12" ht="25.5">
      <c r="A309" s="39"/>
      <c r="B309" s="39"/>
      <c r="C309" s="78"/>
      <c r="D309" s="69" t="s">
        <v>256</v>
      </c>
      <c r="E309" s="91" t="s">
        <v>88</v>
      </c>
      <c r="F309" s="92">
        <f>1051538</f>
        <v>1051538</v>
      </c>
      <c r="G309" s="92">
        <v>4008</v>
      </c>
      <c r="H309" s="92">
        <v>899545</v>
      </c>
      <c r="I309" s="48"/>
      <c r="J309" s="48"/>
      <c r="K309" s="48"/>
      <c r="L309" s="48">
        <v>100</v>
      </c>
    </row>
    <row r="310" spans="1:12" ht="25.5">
      <c r="A310" s="39"/>
      <c r="B310" s="39"/>
      <c r="C310" s="78"/>
      <c r="D310" s="69" t="s">
        <v>257</v>
      </c>
      <c r="E310" s="91">
        <v>2020</v>
      </c>
      <c r="F310" s="92">
        <f>146356</f>
        <v>146356</v>
      </c>
      <c r="G310" s="92">
        <v>146356</v>
      </c>
      <c r="H310" s="92"/>
      <c r="I310" s="48"/>
      <c r="J310" s="48"/>
      <c r="K310" s="48"/>
      <c r="L310" s="48">
        <f>(G310+H310+I310+J310+K310)/F310*100</f>
        <v>100</v>
      </c>
    </row>
    <row r="311" spans="1:12" ht="25.5">
      <c r="A311" s="39"/>
      <c r="B311" s="39"/>
      <c r="C311" s="78"/>
      <c r="D311" s="69" t="s">
        <v>258</v>
      </c>
      <c r="E311" s="91" t="s">
        <v>88</v>
      </c>
      <c r="F311" s="92">
        <f>1299732</f>
        <v>1299732</v>
      </c>
      <c r="G311" s="92">
        <f>1226196.9-1009959.29</f>
        <v>216237.60999999987</v>
      </c>
      <c r="H311" s="92">
        <f>5000</f>
        <v>5000</v>
      </c>
      <c r="I311" s="48"/>
      <c r="J311" s="48"/>
      <c r="K311" s="48"/>
      <c r="L311" s="48">
        <v>100</v>
      </c>
    </row>
    <row r="312" spans="1:12" ht="25.5">
      <c r="A312" s="39"/>
      <c r="B312" s="39"/>
      <c r="C312" s="78"/>
      <c r="D312" s="69" t="s">
        <v>259</v>
      </c>
      <c r="E312" s="91" t="s">
        <v>88</v>
      </c>
      <c r="F312" s="92">
        <f>212082</f>
        <v>212082</v>
      </c>
      <c r="G312" s="92">
        <v>160125.20000000001</v>
      </c>
      <c r="H312" s="92">
        <v>5000</v>
      </c>
      <c r="I312" s="48"/>
      <c r="J312" s="48"/>
      <c r="K312" s="48"/>
      <c r="L312" s="48">
        <v>100</v>
      </c>
    </row>
    <row r="313" spans="1:12" ht="25.5">
      <c r="A313" s="39"/>
      <c r="B313" s="39"/>
      <c r="C313" s="78"/>
      <c r="D313" s="69" t="s">
        <v>260</v>
      </c>
      <c r="E313" s="91" t="s">
        <v>88</v>
      </c>
      <c r="F313" s="92">
        <f>169685</f>
        <v>169685</v>
      </c>
      <c r="G313" s="92"/>
      <c r="H313" s="92">
        <v>139000</v>
      </c>
      <c r="I313" s="48"/>
      <c r="J313" s="48"/>
      <c r="K313" s="48"/>
      <c r="L313" s="48">
        <v>100</v>
      </c>
    </row>
    <row r="314" spans="1:12" ht="25.5">
      <c r="A314" s="39"/>
      <c r="B314" s="39"/>
      <c r="C314" s="78"/>
      <c r="D314" s="69" t="s">
        <v>261</v>
      </c>
      <c r="E314" s="91" t="s">
        <v>88</v>
      </c>
      <c r="F314" s="92">
        <f>189223+203000</f>
        <v>392223</v>
      </c>
      <c r="G314" s="92"/>
      <c r="H314" s="92">
        <v>197000</v>
      </c>
      <c r="I314" s="48">
        <f>194300</f>
        <v>194300</v>
      </c>
      <c r="J314" s="48"/>
      <c r="K314" s="48"/>
      <c r="L314" s="48">
        <v>100</v>
      </c>
    </row>
    <row r="315" spans="1:12" ht="25.5">
      <c r="A315" s="39"/>
      <c r="B315" s="39"/>
      <c r="C315" s="78"/>
      <c r="D315" s="69" t="s">
        <v>262</v>
      </c>
      <c r="E315" s="91" t="s">
        <v>263</v>
      </c>
      <c r="F315" s="92">
        <v>578483</v>
      </c>
      <c r="G315" s="92">
        <v>11340</v>
      </c>
      <c r="H315" s="92"/>
      <c r="I315" s="48"/>
      <c r="J315" s="48">
        <v>350000</v>
      </c>
      <c r="K315" s="48"/>
      <c r="L315" s="48">
        <f>(G315+H315+I315+J315+K315)/F315*100</f>
        <v>62.46337403173473</v>
      </c>
    </row>
    <row r="316" spans="1:12" ht="25.5">
      <c r="A316" s="39"/>
      <c r="B316" s="39"/>
      <c r="C316" s="78"/>
      <c r="D316" s="69" t="s">
        <v>264</v>
      </c>
      <c r="E316" s="91" t="s">
        <v>265</v>
      </c>
      <c r="F316" s="92">
        <f>1497607</f>
        <v>1497607</v>
      </c>
      <c r="G316" s="92">
        <v>13704</v>
      </c>
      <c r="H316" s="92">
        <v>778500</v>
      </c>
      <c r="I316" s="48"/>
      <c r="J316" s="48"/>
      <c r="K316" s="48"/>
      <c r="L316" s="48">
        <f>(G316+H316+I316+J316+K316)/F316*100</f>
        <v>52.897989926596232</v>
      </c>
    </row>
    <row r="317" spans="1:12" ht="25.5">
      <c r="A317" s="39"/>
      <c r="B317" s="39"/>
      <c r="C317" s="78"/>
      <c r="D317" s="69" t="s">
        <v>266</v>
      </c>
      <c r="E317" s="91" t="s">
        <v>88</v>
      </c>
      <c r="F317" s="92">
        <v>299753</v>
      </c>
      <c r="G317" s="92">
        <v>148146.00999999998</v>
      </c>
      <c r="H317" s="92">
        <v>124267</v>
      </c>
      <c r="I317" s="48"/>
      <c r="J317" s="48"/>
      <c r="K317" s="48"/>
      <c r="L317" s="48">
        <v>100</v>
      </c>
    </row>
    <row r="318" spans="1:12" ht="25.5">
      <c r="A318" s="39"/>
      <c r="B318" s="39"/>
      <c r="C318" s="78"/>
      <c r="D318" s="69" t="s">
        <v>267</v>
      </c>
      <c r="E318" s="91" t="s">
        <v>265</v>
      </c>
      <c r="F318" s="92">
        <f>3519637+87000</f>
        <v>3606637</v>
      </c>
      <c r="G318" s="92">
        <v>6369</v>
      </c>
      <c r="H318" s="92">
        <v>2000000</v>
      </c>
      <c r="I318" s="48">
        <f>1600000</f>
        <v>1600000</v>
      </c>
      <c r="J318" s="48"/>
      <c r="K318" s="48"/>
      <c r="L318" s="48">
        <v>100</v>
      </c>
    </row>
    <row r="319" spans="1:12" ht="25.5">
      <c r="A319" s="39"/>
      <c r="B319" s="39"/>
      <c r="C319" s="78"/>
      <c r="D319" s="69" t="s">
        <v>268</v>
      </c>
      <c r="E319" s="91" t="s">
        <v>265</v>
      </c>
      <c r="F319" s="92">
        <f>1495360</f>
        <v>1495360</v>
      </c>
      <c r="G319" s="92">
        <v>11965.26</v>
      </c>
      <c r="H319" s="92">
        <f>1213000</f>
        <v>1213000</v>
      </c>
      <c r="I319" s="48"/>
      <c r="J319" s="48"/>
      <c r="K319" s="48"/>
      <c r="L319" s="48">
        <f>100</f>
        <v>100</v>
      </c>
    </row>
    <row r="320" spans="1:12" ht="25.5">
      <c r="A320" s="39"/>
      <c r="B320" s="39"/>
      <c r="C320" s="78"/>
      <c r="D320" s="69" t="s">
        <v>269</v>
      </c>
      <c r="E320" s="91" t="s">
        <v>265</v>
      </c>
      <c r="F320" s="92">
        <f>1496504</f>
        <v>1496504</v>
      </c>
      <c r="G320" s="92">
        <v>13704</v>
      </c>
      <c r="H320" s="92">
        <v>900000</v>
      </c>
      <c r="I320" s="48"/>
      <c r="J320" s="48"/>
      <c r="K320" s="48"/>
      <c r="L320" s="48">
        <f>(G320+H320+I320+J320+K320)/F320*100</f>
        <v>61.055900953154818</v>
      </c>
    </row>
    <row r="321" spans="1:12" ht="25.5">
      <c r="A321" s="39"/>
      <c r="B321" s="39"/>
      <c r="C321" s="78"/>
      <c r="D321" s="69" t="s">
        <v>270</v>
      </c>
      <c r="E321" s="91">
        <v>2020</v>
      </c>
      <c r="F321" s="92">
        <f>299401+256000</f>
        <v>555401</v>
      </c>
      <c r="G321" s="92">
        <v>5684.21</v>
      </c>
      <c r="H321" s="92">
        <v>250000</v>
      </c>
      <c r="I321" s="48">
        <f>299401</f>
        <v>299401</v>
      </c>
      <c r="J321" s="48"/>
      <c r="K321" s="48"/>
      <c r="L321" s="48">
        <v>100</v>
      </c>
    </row>
    <row r="322" spans="1:12" ht="25.5">
      <c r="A322" s="39"/>
      <c r="B322" s="39"/>
      <c r="C322" s="78"/>
      <c r="D322" s="69" t="s">
        <v>271</v>
      </c>
      <c r="E322" s="91">
        <v>2020</v>
      </c>
      <c r="F322" s="92">
        <f>299207+256000</f>
        <v>555207</v>
      </c>
      <c r="G322" s="92">
        <v>5684.21</v>
      </c>
      <c r="H322" s="92">
        <v>250000</v>
      </c>
      <c r="I322" s="48">
        <f>299207</f>
        <v>299207</v>
      </c>
      <c r="J322" s="48"/>
      <c r="K322" s="48"/>
      <c r="L322" s="48">
        <v>100</v>
      </c>
    </row>
    <row r="323" spans="1:12" ht="25.5">
      <c r="A323" s="39"/>
      <c r="B323" s="39"/>
      <c r="C323" s="78"/>
      <c r="D323" s="69" t="s">
        <v>272</v>
      </c>
      <c r="E323" s="91" t="s">
        <v>265</v>
      </c>
      <c r="F323" s="92">
        <f>1027625</f>
        <v>1027625</v>
      </c>
      <c r="G323" s="92">
        <v>301806.76</v>
      </c>
      <c r="H323" s="92">
        <v>655000</v>
      </c>
      <c r="I323" s="48"/>
      <c r="J323" s="48"/>
      <c r="K323" s="48"/>
      <c r="L323" s="48">
        <v>100</v>
      </c>
    </row>
    <row r="324" spans="1:12" ht="25.5">
      <c r="A324" s="39"/>
      <c r="B324" s="39"/>
      <c r="C324" s="78"/>
      <c r="D324" s="69" t="s">
        <v>273</v>
      </c>
      <c r="E324" s="91" t="s">
        <v>88</v>
      </c>
      <c r="F324" s="92">
        <f>1196806</f>
        <v>1196806</v>
      </c>
      <c r="G324" s="92">
        <v>13704</v>
      </c>
      <c r="H324" s="92">
        <v>971000</v>
      </c>
      <c r="I324" s="48"/>
      <c r="J324" s="48"/>
      <c r="K324" s="48"/>
      <c r="L324" s="48">
        <v>100</v>
      </c>
    </row>
    <row r="325" spans="1:12" ht="25.5">
      <c r="A325" s="39"/>
      <c r="B325" s="39"/>
      <c r="C325" s="78"/>
      <c r="D325" s="69" t="s">
        <v>274</v>
      </c>
      <c r="E325" s="91" t="s">
        <v>88</v>
      </c>
      <c r="F325" s="92">
        <v>691177</v>
      </c>
      <c r="G325" s="92">
        <v>7503</v>
      </c>
      <c r="H325" s="92">
        <v>530000</v>
      </c>
      <c r="I325" s="48"/>
      <c r="J325" s="48"/>
      <c r="K325" s="48"/>
      <c r="L325" s="48">
        <v>100</v>
      </c>
    </row>
    <row r="326" spans="1:12" ht="25.5">
      <c r="A326" s="39"/>
      <c r="B326" s="39"/>
      <c r="C326" s="78"/>
      <c r="D326" s="69" t="s">
        <v>275</v>
      </c>
      <c r="E326" s="91">
        <v>2020</v>
      </c>
      <c r="F326" s="92">
        <f>250000+10000</f>
        <v>260000</v>
      </c>
      <c r="G326" s="92">
        <v>5684.21</v>
      </c>
      <c r="H326" s="92"/>
      <c r="I326" s="48"/>
      <c r="J326" s="48">
        <v>250000</v>
      </c>
      <c r="K326" s="48"/>
      <c r="L326" s="48">
        <v>100</v>
      </c>
    </row>
    <row r="327" spans="1:12" ht="25.5">
      <c r="A327" s="39"/>
      <c r="B327" s="39"/>
      <c r="C327" s="78"/>
      <c r="D327" s="69" t="s">
        <v>276</v>
      </c>
      <c r="E327" s="91">
        <v>2020</v>
      </c>
      <c r="F327" s="92">
        <f>250000+10000</f>
        <v>260000</v>
      </c>
      <c r="G327" s="92">
        <v>5684.21</v>
      </c>
      <c r="H327" s="92"/>
      <c r="I327" s="48"/>
      <c r="J327" s="48">
        <v>250000</v>
      </c>
      <c r="K327" s="48"/>
      <c r="L327" s="48">
        <v>100</v>
      </c>
    </row>
    <row r="328" spans="1:12" ht="25.5">
      <c r="A328" s="39"/>
      <c r="B328" s="39"/>
      <c r="C328" s="78"/>
      <c r="D328" s="69" t="s">
        <v>277</v>
      </c>
      <c r="E328" s="91" t="s">
        <v>88</v>
      </c>
      <c r="F328" s="92">
        <f>369852</f>
        <v>369852</v>
      </c>
      <c r="G328" s="92">
        <v>10544.21</v>
      </c>
      <c r="H328" s="92">
        <f>359300</f>
        <v>359300</v>
      </c>
      <c r="I328" s="48"/>
      <c r="J328" s="48"/>
      <c r="K328" s="48"/>
      <c r="L328" s="48">
        <f t="shared" ref="L328:L363" si="36">(G328+H328+I328+J328+K328)/F328*100</f>
        <v>99.997893752095436</v>
      </c>
    </row>
    <row r="329" spans="1:12" ht="25.5">
      <c r="A329" s="39"/>
      <c r="B329" s="39"/>
      <c r="C329" s="78"/>
      <c r="D329" s="69" t="s">
        <v>278</v>
      </c>
      <c r="E329" s="91">
        <v>2020</v>
      </c>
      <c r="F329" s="92">
        <v>299683</v>
      </c>
      <c r="G329" s="92">
        <v>5684.21</v>
      </c>
      <c r="H329" s="92"/>
      <c r="I329" s="48"/>
      <c r="J329" s="48">
        <v>250000</v>
      </c>
      <c r="K329" s="48"/>
      <c r="L329" s="48">
        <f t="shared" si="36"/>
        <v>85.318222922221139</v>
      </c>
    </row>
    <row r="330" spans="1:12" ht="25.5">
      <c r="A330" s="39"/>
      <c r="B330" s="39"/>
      <c r="C330" s="78"/>
      <c r="D330" s="69" t="s">
        <v>279</v>
      </c>
      <c r="E330" s="91">
        <v>2020</v>
      </c>
      <c r="F330" s="92">
        <f>298330+257000</f>
        <v>555330</v>
      </c>
      <c r="G330" s="92">
        <v>5684.21</v>
      </c>
      <c r="H330" s="92">
        <v>299000</v>
      </c>
      <c r="I330" s="48"/>
      <c r="J330" s="48">
        <v>250000</v>
      </c>
      <c r="K330" s="48"/>
      <c r="L330" s="48">
        <v>100</v>
      </c>
    </row>
    <row r="331" spans="1:12" ht="25.5">
      <c r="A331" s="39"/>
      <c r="B331" s="39"/>
      <c r="C331" s="78"/>
      <c r="D331" s="69" t="s">
        <v>280</v>
      </c>
      <c r="E331" s="91">
        <v>2020</v>
      </c>
      <c r="F331" s="92">
        <v>528240</v>
      </c>
      <c r="G331" s="92">
        <v>10544.21</v>
      </c>
      <c r="H331" s="92"/>
      <c r="I331" s="48"/>
      <c r="J331" s="48">
        <v>500000</v>
      </c>
      <c r="K331" s="48"/>
      <c r="L331" s="48">
        <f t="shared" si="36"/>
        <v>96.650047326972583</v>
      </c>
    </row>
    <row r="332" spans="1:12" ht="25.5">
      <c r="A332" s="39"/>
      <c r="B332" s="39"/>
      <c r="C332" s="78"/>
      <c r="D332" s="69" t="s">
        <v>281</v>
      </c>
      <c r="E332" s="91">
        <v>2020</v>
      </c>
      <c r="F332" s="92">
        <f>297806+10000</f>
        <v>307806</v>
      </c>
      <c r="G332" s="92">
        <v>5684.21</v>
      </c>
      <c r="H332" s="92"/>
      <c r="I332" s="48"/>
      <c r="J332" s="48">
        <v>297000</v>
      </c>
      <c r="K332" s="48"/>
      <c r="L332" s="48">
        <v>100</v>
      </c>
    </row>
    <row r="333" spans="1:12" ht="38.25">
      <c r="A333" s="39"/>
      <c r="B333" s="39"/>
      <c r="C333" s="78"/>
      <c r="D333" s="69" t="s">
        <v>282</v>
      </c>
      <c r="E333" s="91" t="s">
        <v>265</v>
      </c>
      <c r="F333" s="92">
        <f>1494907+1117000</f>
        <v>2611907</v>
      </c>
      <c r="G333" s="92">
        <v>11965.26</v>
      </c>
      <c r="H333" s="92">
        <v>1299000</v>
      </c>
      <c r="I333" s="48">
        <v>1300000</v>
      </c>
      <c r="J333" s="48"/>
      <c r="K333" s="48"/>
      <c r="L333" s="48">
        <v>100</v>
      </c>
    </row>
    <row r="334" spans="1:12" ht="25.5">
      <c r="A334" s="39"/>
      <c r="B334" s="39"/>
      <c r="C334" s="78"/>
      <c r="D334" s="69" t="s">
        <v>283</v>
      </c>
      <c r="E334" s="91" t="s">
        <v>265</v>
      </c>
      <c r="F334" s="92">
        <f>1499000</f>
        <v>1499000</v>
      </c>
      <c r="G334" s="92">
        <v>14040</v>
      </c>
      <c r="H334" s="92">
        <v>965000</v>
      </c>
      <c r="I334" s="48"/>
      <c r="J334" s="48"/>
      <c r="K334" s="48"/>
      <c r="L334" s="48">
        <f t="shared" si="36"/>
        <v>65.312875250166783</v>
      </c>
    </row>
    <row r="335" spans="1:12" ht="25.5">
      <c r="A335" s="39"/>
      <c r="B335" s="39"/>
      <c r="C335" s="78"/>
      <c r="D335" s="69" t="s">
        <v>284</v>
      </c>
      <c r="E335" s="91" t="s">
        <v>265</v>
      </c>
      <c r="F335" s="92">
        <f>1472000</f>
        <v>1472000</v>
      </c>
      <c r="G335" s="92">
        <v>14040</v>
      </c>
      <c r="H335" s="92">
        <v>780000</v>
      </c>
      <c r="I335" s="48"/>
      <c r="J335" s="48"/>
      <c r="K335" s="48"/>
      <c r="L335" s="48">
        <f t="shared" si="36"/>
        <v>53.942934782608695</v>
      </c>
    </row>
    <row r="336" spans="1:12" ht="25.5">
      <c r="A336" s="39"/>
      <c r="B336" s="39"/>
      <c r="C336" s="78"/>
      <c r="D336" s="69" t="s">
        <v>285</v>
      </c>
      <c r="E336" s="91" t="s">
        <v>265</v>
      </c>
      <c r="F336" s="92">
        <f>299990</f>
        <v>299990</v>
      </c>
      <c r="G336" s="92"/>
      <c r="H336" s="92">
        <v>220000</v>
      </c>
      <c r="I336" s="48"/>
      <c r="J336" s="48"/>
      <c r="K336" s="48"/>
      <c r="L336" s="48">
        <v>100</v>
      </c>
    </row>
    <row r="337" spans="1:12" ht="38.25">
      <c r="A337" s="39"/>
      <c r="B337" s="39"/>
      <c r="C337" s="78"/>
      <c r="D337" s="69" t="s">
        <v>286</v>
      </c>
      <c r="E337" s="91" t="s">
        <v>265</v>
      </c>
      <c r="F337" s="92">
        <f>1078944</f>
        <v>1078944</v>
      </c>
      <c r="G337" s="92">
        <v>10544.21</v>
      </c>
      <c r="H337" s="92">
        <v>782000</v>
      </c>
      <c r="I337" s="48"/>
      <c r="J337" s="48"/>
      <c r="K337" s="48"/>
      <c r="L337" s="48">
        <f t="shared" si="36"/>
        <v>73.455546349022754</v>
      </c>
    </row>
    <row r="338" spans="1:12" ht="25.5">
      <c r="A338" s="39"/>
      <c r="B338" s="39"/>
      <c r="C338" s="78"/>
      <c r="D338" s="69" t="s">
        <v>287</v>
      </c>
      <c r="E338" s="91" t="s">
        <v>265</v>
      </c>
      <c r="F338" s="92">
        <f>1493939</f>
        <v>1493939</v>
      </c>
      <c r="G338" s="92">
        <v>14040</v>
      </c>
      <c r="H338" s="92">
        <f>852500</f>
        <v>852500</v>
      </c>
      <c r="I338" s="48"/>
      <c r="J338" s="48"/>
      <c r="K338" s="48"/>
      <c r="L338" s="48">
        <f t="shared" si="36"/>
        <v>58.003706978665129</v>
      </c>
    </row>
    <row r="339" spans="1:12" ht="25.5">
      <c r="A339" s="39"/>
      <c r="B339" s="39"/>
      <c r="C339" s="78"/>
      <c r="D339" s="69" t="s">
        <v>288</v>
      </c>
      <c r="E339" s="91" t="s">
        <v>88</v>
      </c>
      <c r="F339" s="92">
        <f>830555</f>
        <v>830555</v>
      </c>
      <c r="G339" s="92">
        <v>8868</v>
      </c>
      <c r="H339" s="92">
        <v>645000</v>
      </c>
      <c r="I339" s="48"/>
      <c r="J339" s="48"/>
      <c r="K339" s="48"/>
      <c r="L339" s="48">
        <v>100</v>
      </c>
    </row>
    <row r="340" spans="1:12" ht="25.5">
      <c r="A340" s="39"/>
      <c r="B340" s="39"/>
      <c r="C340" s="78"/>
      <c r="D340" s="69" t="s">
        <v>289</v>
      </c>
      <c r="E340" s="91">
        <v>2020</v>
      </c>
      <c r="F340" s="92">
        <f>230000</f>
        <v>230000</v>
      </c>
      <c r="G340" s="92">
        <v>213872.17</v>
      </c>
      <c r="H340" s="92"/>
      <c r="I340" s="48"/>
      <c r="J340" s="48"/>
      <c r="K340" s="48"/>
      <c r="L340" s="48">
        <v>100</v>
      </c>
    </row>
    <row r="341" spans="1:12" ht="25.5">
      <c r="A341" s="39"/>
      <c r="B341" s="39"/>
      <c r="C341" s="78"/>
      <c r="D341" s="69" t="s">
        <v>290</v>
      </c>
      <c r="E341" s="91">
        <v>2020</v>
      </c>
      <c r="F341" s="92">
        <v>190000</v>
      </c>
      <c r="G341" s="92">
        <v>184424.80000000002</v>
      </c>
      <c r="H341" s="92"/>
      <c r="I341" s="48"/>
      <c r="J341" s="48"/>
      <c r="K341" s="48"/>
      <c r="L341" s="48">
        <v>100</v>
      </c>
    </row>
    <row r="342" spans="1:12" ht="42.75" customHeight="1">
      <c r="A342" s="39"/>
      <c r="B342" s="39"/>
      <c r="C342" s="78"/>
      <c r="D342" s="69" t="s">
        <v>291</v>
      </c>
      <c r="E342" s="91" t="s">
        <v>265</v>
      </c>
      <c r="F342" s="92">
        <f>1480754</f>
        <v>1480754</v>
      </c>
      <c r="G342" s="92">
        <v>4008</v>
      </c>
      <c r="H342" s="92">
        <v>4725</v>
      </c>
      <c r="I342" s="48"/>
      <c r="J342" s="48"/>
      <c r="K342" s="48"/>
      <c r="L342" s="48">
        <f t="shared" si="36"/>
        <v>0.5897671051369775</v>
      </c>
    </row>
    <row r="343" spans="1:12" ht="25.5">
      <c r="A343" s="39"/>
      <c r="B343" s="39"/>
      <c r="C343" s="78"/>
      <c r="D343" s="69" t="s">
        <v>292</v>
      </c>
      <c r="E343" s="91" t="s">
        <v>265</v>
      </c>
      <c r="F343" s="92">
        <f>1495741</f>
        <v>1495741</v>
      </c>
      <c r="G343" s="92">
        <v>4008</v>
      </c>
      <c r="H343" s="92">
        <v>260000</v>
      </c>
      <c r="I343" s="48"/>
      <c r="J343" s="48"/>
      <c r="K343" s="48"/>
      <c r="L343" s="48">
        <f t="shared" si="36"/>
        <v>17.650649410559716</v>
      </c>
    </row>
    <row r="344" spans="1:12" ht="25.5">
      <c r="A344" s="39"/>
      <c r="B344" s="39"/>
      <c r="C344" s="78"/>
      <c r="D344" s="69" t="s">
        <v>293</v>
      </c>
      <c r="E344" s="91" t="s">
        <v>88</v>
      </c>
      <c r="F344" s="92">
        <v>292764</v>
      </c>
      <c r="G344" s="92"/>
      <c r="H344" s="92">
        <v>265000</v>
      </c>
      <c r="I344" s="48"/>
      <c r="J344" s="48"/>
      <c r="K344" s="48"/>
      <c r="L344" s="48">
        <f t="shared" si="36"/>
        <v>90.516593570247707</v>
      </c>
    </row>
    <row r="345" spans="1:12" ht="25.5">
      <c r="A345" s="39"/>
      <c r="B345" s="39"/>
      <c r="C345" s="78"/>
      <c r="D345" s="69" t="s">
        <v>294</v>
      </c>
      <c r="E345" s="91" t="s">
        <v>88</v>
      </c>
      <c r="F345" s="92">
        <f>283421</f>
        <v>283421</v>
      </c>
      <c r="G345" s="92"/>
      <c r="H345" s="92">
        <v>256000</v>
      </c>
      <c r="I345" s="48"/>
      <c r="J345" s="48"/>
      <c r="K345" s="48"/>
      <c r="L345" s="48">
        <f t="shared" si="36"/>
        <v>90.324993560815898</v>
      </c>
    </row>
    <row r="346" spans="1:12" ht="25.5">
      <c r="A346" s="39"/>
      <c r="B346" s="39"/>
      <c r="C346" s="78"/>
      <c r="D346" s="69" t="s">
        <v>295</v>
      </c>
      <c r="E346" s="91" t="s">
        <v>265</v>
      </c>
      <c r="F346" s="92">
        <f>1490000</f>
        <v>1490000</v>
      </c>
      <c r="G346" s="92"/>
      <c r="H346" s="92">
        <v>1250000</v>
      </c>
      <c r="I346" s="48"/>
      <c r="J346" s="48"/>
      <c r="K346" s="48"/>
      <c r="L346" s="48">
        <v>100</v>
      </c>
    </row>
    <row r="347" spans="1:12" ht="25.5">
      <c r="A347" s="39"/>
      <c r="B347" s="39"/>
      <c r="C347" s="78"/>
      <c r="D347" s="69" t="s">
        <v>296</v>
      </c>
      <c r="E347" s="91">
        <v>2020</v>
      </c>
      <c r="F347" s="92">
        <v>244638</v>
      </c>
      <c r="G347" s="92"/>
      <c r="H347" s="92"/>
      <c r="I347" s="48"/>
      <c r="J347" s="48">
        <v>200000</v>
      </c>
      <c r="K347" s="48"/>
      <c r="L347" s="48">
        <f t="shared" si="36"/>
        <v>81.753447951667354</v>
      </c>
    </row>
    <row r="348" spans="1:12" ht="25.5">
      <c r="A348" s="39"/>
      <c r="B348" s="39"/>
      <c r="C348" s="78"/>
      <c r="D348" s="69" t="s">
        <v>297</v>
      </c>
      <c r="E348" s="91" t="s">
        <v>265</v>
      </c>
      <c r="F348" s="92">
        <f>103416</f>
        <v>103416</v>
      </c>
      <c r="G348" s="92"/>
      <c r="H348" s="92">
        <v>1421</v>
      </c>
      <c r="I348" s="48"/>
      <c r="J348" s="48"/>
      <c r="K348" s="48"/>
      <c r="L348" s="48">
        <f t="shared" si="36"/>
        <v>1.3740620406900286</v>
      </c>
    </row>
    <row r="349" spans="1:12" ht="25.5">
      <c r="A349" s="39"/>
      <c r="B349" s="39"/>
      <c r="C349" s="78"/>
      <c r="D349" s="69" t="s">
        <v>298</v>
      </c>
      <c r="E349" s="91" t="s">
        <v>265</v>
      </c>
      <c r="F349" s="92">
        <v>298431</v>
      </c>
      <c r="G349" s="92">
        <v>2842.1</v>
      </c>
      <c r="H349" s="92">
        <v>100000</v>
      </c>
      <c r="I349" s="48"/>
      <c r="J349" s="48"/>
      <c r="K349" s="48"/>
      <c r="L349" s="48">
        <f t="shared" si="36"/>
        <v>34.460930667390457</v>
      </c>
    </row>
    <row r="350" spans="1:12" ht="25.5">
      <c r="A350" s="39"/>
      <c r="B350" s="39"/>
      <c r="C350" s="78"/>
      <c r="D350" s="69" t="s">
        <v>299</v>
      </c>
      <c r="E350" s="91">
        <v>2020</v>
      </c>
      <c r="F350" s="92">
        <v>543490</v>
      </c>
      <c r="G350" s="92">
        <v>12534.32</v>
      </c>
      <c r="H350" s="92"/>
      <c r="I350" s="48">
        <v>500000</v>
      </c>
      <c r="J350" s="48"/>
      <c r="K350" s="48"/>
      <c r="L350" s="48">
        <v>100</v>
      </c>
    </row>
    <row r="351" spans="1:12" ht="25.5">
      <c r="A351" s="39"/>
      <c r="B351" s="39"/>
      <c r="C351" s="78"/>
      <c r="D351" s="69" t="s">
        <v>302</v>
      </c>
      <c r="E351" s="91" t="s">
        <v>265</v>
      </c>
      <c r="F351" s="92">
        <v>299870</v>
      </c>
      <c r="G351" s="92"/>
      <c r="H351" s="92">
        <v>4050</v>
      </c>
      <c r="I351" s="48"/>
      <c r="J351" s="48"/>
      <c r="K351" s="48"/>
      <c r="L351" s="48">
        <f t="shared" si="36"/>
        <v>1.3505852536098977</v>
      </c>
    </row>
    <row r="352" spans="1:12" ht="25.5">
      <c r="A352" s="39"/>
      <c r="B352" s="39"/>
      <c r="C352" s="78"/>
      <c r="D352" s="69" t="s">
        <v>303</v>
      </c>
      <c r="E352" s="91" t="s">
        <v>235</v>
      </c>
      <c r="F352" s="92">
        <v>100000</v>
      </c>
      <c r="G352" s="92"/>
      <c r="H352" s="92">
        <f>220000-120000</f>
        <v>100000</v>
      </c>
      <c r="I352" s="48"/>
      <c r="J352" s="48"/>
      <c r="K352" s="48"/>
      <c r="L352" s="48">
        <f t="shared" si="36"/>
        <v>100</v>
      </c>
    </row>
    <row r="353" spans="1:12" ht="25.5">
      <c r="A353" s="39"/>
      <c r="B353" s="39"/>
      <c r="C353" s="78"/>
      <c r="D353" s="69" t="s">
        <v>304</v>
      </c>
      <c r="E353" s="91">
        <v>2020</v>
      </c>
      <c r="F353" s="92">
        <v>50000</v>
      </c>
      <c r="G353" s="92">
        <v>49386.18</v>
      </c>
      <c r="H353" s="92"/>
      <c r="I353" s="48"/>
      <c r="J353" s="48"/>
      <c r="K353" s="48"/>
      <c r="L353" s="48">
        <v>100</v>
      </c>
    </row>
    <row r="354" spans="1:12" ht="25.5">
      <c r="A354" s="39"/>
      <c r="B354" s="39"/>
      <c r="C354" s="78"/>
      <c r="D354" s="69" t="s">
        <v>305</v>
      </c>
      <c r="E354" s="91">
        <v>2020</v>
      </c>
      <c r="F354" s="92">
        <v>100000</v>
      </c>
      <c r="G354" s="92">
        <v>98741.96</v>
      </c>
      <c r="H354" s="92"/>
      <c r="I354" s="48"/>
      <c r="J354" s="48"/>
      <c r="K354" s="48"/>
      <c r="L354" s="48">
        <v>100</v>
      </c>
    </row>
    <row r="355" spans="1:12" ht="25.5">
      <c r="A355" s="39"/>
      <c r="B355" s="39"/>
      <c r="C355" s="78"/>
      <c r="D355" s="69" t="s">
        <v>306</v>
      </c>
      <c r="E355" s="91" t="s">
        <v>235</v>
      </c>
      <c r="F355" s="92">
        <v>100000</v>
      </c>
      <c r="G355" s="92"/>
      <c r="H355" s="92">
        <v>100000</v>
      </c>
      <c r="I355" s="48"/>
      <c r="J355" s="48"/>
      <c r="K355" s="48"/>
      <c r="L355" s="48">
        <f t="shared" si="36"/>
        <v>100</v>
      </c>
    </row>
    <row r="356" spans="1:12" ht="25.5">
      <c r="A356" s="39"/>
      <c r="B356" s="39"/>
      <c r="C356" s="78"/>
      <c r="D356" s="69" t="s">
        <v>307</v>
      </c>
      <c r="E356" s="91">
        <v>2020</v>
      </c>
      <c r="F356" s="92">
        <v>100000</v>
      </c>
      <c r="G356" s="92">
        <v>0</v>
      </c>
      <c r="H356" s="92"/>
      <c r="I356" s="48">
        <v>100000</v>
      </c>
      <c r="J356" s="48"/>
      <c r="K356" s="48"/>
      <c r="L356" s="48">
        <f t="shared" si="36"/>
        <v>100</v>
      </c>
    </row>
    <row r="357" spans="1:12" ht="25.5">
      <c r="A357" s="39"/>
      <c r="B357" s="39"/>
      <c r="C357" s="78"/>
      <c r="D357" s="69" t="s">
        <v>308</v>
      </c>
      <c r="E357" s="91">
        <v>2020</v>
      </c>
      <c r="F357" s="92">
        <v>63239</v>
      </c>
      <c r="G357" s="89">
        <v>62276.57</v>
      </c>
      <c r="H357" s="92"/>
      <c r="I357" s="48"/>
      <c r="J357" s="48"/>
      <c r="K357" s="48"/>
      <c r="L357" s="48">
        <f t="shared" si="36"/>
        <v>98.47810686443492</v>
      </c>
    </row>
    <row r="358" spans="1:12" ht="38.25">
      <c r="A358" s="39"/>
      <c r="B358" s="39"/>
      <c r="C358" s="78"/>
      <c r="D358" s="69" t="s">
        <v>309</v>
      </c>
      <c r="E358" s="91">
        <v>2020</v>
      </c>
      <c r="F358" s="92">
        <v>128024</v>
      </c>
      <c r="G358" s="92">
        <v>5400</v>
      </c>
      <c r="H358" s="92"/>
      <c r="I358" s="48"/>
      <c r="J358" s="48"/>
      <c r="K358" s="48"/>
      <c r="L358" s="48">
        <f t="shared" si="36"/>
        <v>4.2179591326626253</v>
      </c>
    </row>
    <row r="359" spans="1:12" ht="25.5">
      <c r="A359" s="39"/>
      <c r="B359" s="39"/>
      <c r="C359" s="78"/>
      <c r="D359" s="69" t="s">
        <v>310</v>
      </c>
      <c r="E359" s="91" t="s">
        <v>265</v>
      </c>
      <c r="F359" s="92">
        <f>128024</f>
        <v>128024</v>
      </c>
      <c r="G359" s="92"/>
      <c r="H359" s="92">
        <v>5500</v>
      </c>
      <c r="I359" s="48"/>
      <c r="J359" s="48"/>
      <c r="K359" s="48"/>
      <c r="L359" s="48">
        <f t="shared" si="36"/>
        <v>4.2960694869711924</v>
      </c>
    </row>
    <row r="360" spans="1:12" ht="25.5">
      <c r="A360" s="39"/>
      <c r="B360" s="39"/>
      <c r="C360" s="78"/>
      <c r="D360" s="69" t="s">
        <v>311</v>
      </c>
      <c r="E360" s="91" t="s">
        <v>88</v>
      </c>
      <c r="F360" s="92">
        <f>128024</f>
        <v>128024</v>
      </c>
      <c r="G360" s="92"/>
      <c r="H360" s="92">
        <v>100000</v>
      </c>
      <c r="I360" s="48"/>
      <c r="J360" s="48"/>
      <c r="K360" s="48"/>
      <c r="L360" s="48">
        <v>100</v>
      </c>
    </row>
    <row r="361" spans="1:12" ht="25.5">
      <c r="A361" s="39"/>
      <c r="B361" s="39"/>
      <c r="C361" s="78"/>
      <c r="D361" s="69" t="s">
        <v>312</v>
      </c>
      <c r="E361" s="91" t="s">
        <v>88</v>
      </c>
      <c r="F361" s="92">
        <f>299960</f>
        <v>299960</v>
      </c>
      <c r="G361" s="92">
        <v>5684</v>
      </c>
      <c r="H361" s="92">
        <f>292000</f>
        <v>292000</v>
      </c>
      <c r="I361" s="48"/>
      <c r="J361" s="48"/>
      <c r="K361" s="48"/>
      <c r="L361" s="48">
        <v>100</v>
      </c>
    </row>
    <row r="362" spans="1:12" ht="25.5">
      <c r="A362" s="39"/>
      <c r="B362" s="39"/>
      <c r="C362" s="78"/>
      <c r="D362" s="69" t="s">
        <v>313</v>
      </c>
      <c r="E362" s="91" t="s">
        <v>88</v>
      </c>
      <c r="F362" s="92">
        <v>298000</v>
      </c>
      <c r="G362" s="92">
        <v>5684</v>
      </c>
      <c r="H362" s="92">
        <v>276500</v>
      </c>
      <c r="I362" s="48"/>
      <c r="J362" s="48"/>
      <c r="K362" s="48"/>
      <c r="L362" s="48">
        <v>100</v>
      </c>
    </row>
    <row r="363" spans="1:12" ht="25.5">
      <c r="A363" s="39"/>
      <c r="B363" s="39"/>
      <c r="C363" s="78"/>
      <c r="D363" s="69" t="s">
        <v>314</v>
      </c>
      <c r="E363" s="91">
        <v>2020</v>
      </c>
      <c r="F363" s="92">
        <v>530000</v>
      </c>
      <c r="G363" s="92">
        <v>530000</v>
      </c>
      <c r="H363" s="92"/>
      <c r="I363" s="48"/>
      <c r="J363" s="48"/>
      <c r="K363" s="48"/>
      <c r="L363" s="48">
        <f t="shared" si="36"/>
        <v>100</v>
      </c>
    </row>
    <row r="364" spans="1:12" ht="25.5">
      <c r="A364" s="39"/>
      <c r="B364" s="39"/>
      <c r="C364" s="78"/>
      <c r="D364" s="69" t="s">
        <v>315</v>
      </c>
      <c r="E364" s="91" t="s">
        <v>88</v>
      </c>
      <c r="F364" s="92">
        <f>437194</f>
        <v>437194</v>
      </c>
      <c r="G364" s="92"/>
      <c r="H364" s="92">
        <v>350000</v>
      </c>
      <c r="I364" s="48"/>
      <c r="J364" s="48"/>
      <c r="K364" s="48"/>
      <c r="L364" s="48">
        <v>100</v>
      </c>
    </row>
    <row r="365" spans="1:12" ht="25.5">
      <c r="A365" s="39"/>
      <c r="B365" s="39"/>
      <c r="C365" s="78"/>
      <c r="D365" s="69" t="s">
        <v>316</v>
      </c>
      <c r="E365" s="91">
        <v>2020</v>
      </c>
      <c r="F365" s="92">
        <v>232067</v>
      </c>
      <c r="G365" s="92"/>
      <c r="H365" s="92">
        <v>150000</v>
      </c>
      <c r="I365" s="48"/>
      <c r="J365" s="48"/>
      <c r="K365" s="48"/>
      <c r="L365" s="48">
        <f>(G365+H365+I365+J365+K365)/F365*100</f>
        <v>64.636505836676477</v>
      </c>
    </row>
    <row r="366" spans="1:12" ht="38.25">
      <c r="A366" s="39"/>
      <c r="B366" s="39"/>
      <c r="C366" s="78"/>
      <c r="D366" s="69" t="s">
        <v>317</v>
      </c>
      <c r="E366" s="91" t="s">
        <v>88</v>
      </c>
      <c r="F366" s="92">
        <v>311138</v>
      </c>
      <c r="G366" s="92">
        <v>128994.1</v>
      </c>
      <c r="H366" s="92">
        <v>182144</v>
      </c>
      <c r="I366" s="48"/>
      <c r="J366" s="48"/>
      <c r="K366" s="48"/>
      <c r="L366" s="48">
        <v>100</v>
      </c>
    </row>
    <row r="367" spans="1:12" ht="25.5">
      <c r="A367" s="39"/>
      <c r="B367" s="39"/>
      <c r="C367" s="78"/>
      <c r="D367" s="69" t="s">
        <v>334</v>
      </c>
      <c r="E367" s="91" t="s">
        <v>46</v>
      </c>
      <c r="F367" s="92">
        <f>620000+620000</f>
        <v>1240000</v>
      </c>
      <c r="G367" s="92"/>
      <c r="H367" s="92">
        <v>620000</v>
      </c>
      <c r="I367" s="48">
        <v>620000</v>
      </c>
      <c r="J367" s="48"/>
      <c r="K367" s="48"/>
      <c r="L367" s="48">
        <v>100</v>
      </c>
    </row>
    <row r="368" spans="1:12" ht="25.5">
      <c r="A368" s="39"/>
      <c r="B368" s="39"/>
      <c r="C368" s="78"/>
      <c r="D368" s="69" t="s">
        <v>205</v>
      </c>
      <c r="E368" s="91">
        <v>2021</v>
      </c>
      <c r="F368" s="92">
        <f>194747.63+200000</f>
        <v>394747.63</v>
      </c>
      <c r="G368" s="92"/>
      <c r="H368" s="92">
        <v>165000</v>
      </c>
      <c r="I368" s="48">
        <f>192047</f>
        <v>192047</v>
      </c>
      <c r="J368" s="48"/>
      <c r="K368" s="48"/>
      <c r="L368" s="48">
        <f>(G368+H368+I368+J368+K368)/F368*100</f>
        <v>90.449434743914736</v>
      </c>
    </row>
    <row r="369" spans="1:12" ht="25.5">
      <c r="A369" s="39"/>
      <c r="B369" s="39"/>
      <c r="C369" s="78"/>
      <c r="D369" s="69" t="s">
        <v>335</v>
      </c>
      <c r="E369" s="91" t="s">
        <v>46</v>
      </c>
      <c r="F369" s="92">
        <f>400000+400000</f>
        <v>800000</v>
      </c>
      <c r="G369" s="92"/>
      <c r="H369" s="92">
        <v>400000</v>
      </c>
      <c r="I369" s="48">
        <v>400000</v>
      </c>
      <c r="J369" s="48"/>
      <c r="K369" s="48"/>
      <c r="L369" s="48">
        <v>100</v>
      </c>
    </row>
    <row r="370" spans="1:12" ht="25.5">
      <c r="A370" s="39"/>
      <c r="B370" s="39"/>
      <c r="C370" s="78"/>
      <c r="D370" s="69" t="s">
        <v>336</v>
      </c>
      <c r="E370" s="91">
        <v>2021</v>
      </c>
      <c r="F370" s="92">
        <f>500000+500000</f>
        <v>1000000</v>
      </c>
      <c r="G370" s="92"/>
      <c r="H370" s="92">
        <v>500000</v>
      </c>
      <c r="I370" s="48">
        <v>500000</v>
      </c>
      <c r="J370" s="48"/>
      <c r="K370" s="48"/>
      <c r="L370" s="48">
        <f>(G370+H370+I370+J370+K370)/F370*100</f>
        <v>100</v>
      </c>
    </row>
    <row r="371" spans="1:12" ht="25.5">
      <c r="A371" s="39"/>
      <c r="B371" s="39"/>
      <c r="C371" s="78"/>
      <c r="D371" s="69" t="s">
        <v>337</v>
      </c>
      <c r="E371" s="91">
        <v>2021</v>
      </c>
      <c r="F371" s="92">
        <f>399000+400000</f>
        <v>799000</v>
      </c>
      <c r="G371" s="92"/>
      <c r="H371" s="92">
        <v>399000</v>
      </c>
      <c r="I371" s="48">
        <v>399000</v>
      </c>
      <c r="J371" s="48"/>
      <c r="K371" s="48"/>
      <c r="L371" s="48">
        <f>(G371+H371+I371+J371+K371)/F371*100</f>
        <v>99.874843554443046</v>
      </c>
    </row>
    <row r="372" spans="1:12" ht="25.5">
      <c r="A372" s="39"/>
      <c r="B372" s="39"/>
      <c r="C372" s="78"/>
      <c r="D372" s="69" t="s">
        <v>338</v>
      </c>
      <c r="E372" s="91" t="s">
        <v>46</v>
      </c>
      <c r="F372" s="92">
        <f>1490000+1000000</f>
        <v>2490000</v>
      </c>
      <c r="G372" s="92"/>
      <c r="H372" s="92">
        <v>900000</v>
      </c>
      <c r="I372" s="48">
        <v>1490000</v>
      </c>
      <c r="J372" s="48"/>
      <c r="K372" s="48"/>
      <c r="L372" s="48">
        <v>100</v>
      </c>
    </row>
    <row r="373" spans="1:12" ht="25.5">
      <c r="A373" s="39"/>
      <c r="B373" s="39"/>
      <c r="C373" s="78"/>
      <c r="D373" s="69" t="s">
        <v>339</v>
      </c>
      <c r="E373" s="91">
        <v>2021</v>
      </c>
      <c r="F373" s="92">
        <v>6985098</v>
      </c>
      <c r="G373" s="92"/>
      <c r="H373" s="92">
        <v>2529000</v>
      </c>
      <c r="I373" s="48"/>
      <c r="J373" s="48"/>
      <c r="K373" s="48"/>
      <c r="L373" s="48">
        <f>(G373+H373+I373+J373+K373)/F373*100</f>
        <v>36.205648081100648</v>
      </c>
    </row>
    <row r="374" spans="1:12" ht="25.5">
      <c r="A374" s="39"/>
      <c r="B374" s="39"/>
      <c r="C374" s="78"/>
      <c r="D374" s="69" t="s">
        <v>340</v>
      </c>
      <c r="E374" s="91" t="s">
        <v>46</v>
      </c>
      <c r="F374" s="94">
        <v>38000000</v>
      </c>
      <c r="G374" s="92"/>
      <c r="H374" s="92">
        <v>1350000</v>
      </c>
      <c r="I374" s="48">
        <f>1083263</f>
        <v>1083263</v>
      </c>
      <c r="J374" s="48">
        <f>15000000</f>
        <v>15000000</v>
      </c>
      <c r="K374" s="48">
        <v>20566737</v>
      </c>
      <c r="L374" s="48">
        <v>100</v>
      </c>
    </row>
    <row r="375" spans="1:12" ht="25.5">
      <c r="A375" s="39"/>
      <c r="B375" s="39"/>
      <c r="C375" s="78"/>
      <c r="D375" s="68" t="s">
        <v>341</v>
      </c>
      <c r="E375" s="91">
        <v>2021</v>
      </c>
      <c r="F375" s="94">
        <v>10702190</v>
      </c>
      <c r="G375" s="92"/>
      <c r="H375" s="92">
        <v>80000</v>
      </c>
      <c r="I375" s="48"/>
      <c r="J375" s="48"/>
      <c r="K375" s="48"/>
      <c r="L375" s="48">
        <v>100</v>
      </c>
    </row>
    <row r="376" spans="1:12" ht="25.5">
      <c r="A376" s="39"/>
      <c r="B376" s="39"/>
      <c r="C376" s="78"/>
      <c r="D376" s="69" t="s">
        <v>342</v>
      </c>
      <c r="E376" s="91" t="s">
        <v>46</v>
      </c>
      <c r="F376" s="94">
        <v>1499000</v>
      </c>
      <c r="G376" s="92"/>
      <c r="H376" s="92">
        <v>20000</v>
      </c>
      <c r="I376" s="48">
        <f>1472000</f>
        <v>1472000</v>
      </c>
      <c r="J376" s="48"/>
      <c r="K376" s="48"/>
      <c r="L376" s="48">
        <f>(G376+H376+I376+J376+K376)/F376*100</f>
        <v>99.533022014676447</v>
      </c>
    </row>
    <row r="377" spans="1:12" ht="25.5">
      <c r="A377" s="39"/>
      <c r="B377" s="39"/>
      <c r="C377" s="78"/>
      <c r="D377" s="69" t="s">
        <v>343</v>
      </c>
      <c r="E377" s="91" t="s">
        <v>46</v>
      </c>
      <c r="F377" s="94">
        <f>1499000+100000</f>
        <v>1599000</v>
      </c>
      <c r="G377" s="92"/>
      <c r="H377" s="92">
        <v>100000</v>
      </c>
      <c r="I377" s="48">
        <f>1499000</f>
        <v>1499000</v>
      </c>
      <c r="J377" s="48"/>
      <c r="K377" s="48"/>
      <c r="L377" s="48">
        <v>100</v>
      </c>
    </row>
    <row r="378" spans="1:12" ht="25.5">
      <c r="A378" s="39"/>
      <c r="B378" s="39"/>
      <c r="C378" s="78"/>
      <c r="D378" s="69" t="s">
        <v>344</v>
      </c>
      <c r="E378" s="91">
        <v>2021</v>
      </c>
      <c r="F378" s="94">
        <f>6314526+100000</f>
        <v>6414526</v>
      </c>
      <c r="G378" s="92"/>
      <c r="H378" s="92">
        <v>100000</v>
      </c>
      <c r="I378" s="48">
        <f>6314526</f>
        <v>6314526</v>
      </c>
      <c r="J378" s="48"/>
      <c r="K378" s="48"/>
      <c r="L378" s="48">
        <f>(G378+H378+I378+J378+K378)/F378*100</f>
        <v>100</v>
      </c>
    </row>
    <row r="379" spans="1:12" ht="25.5">
      <c r="A379" s="39"/>
      <c r="B379" s="39"/>
      <c r="C379" s="78"/>
      <c r="D379" s="69" t="s">
        <v>345</v>
      </c>
      <c r="E379" s="91">
        <v>2021</v>
      </c>
      <c r="F379" s="94">
        <f>1456276</f>
        <v>1456276</v>
      </c>
      <c r="G379" s="92"/>
      <c r="H379" s="92">
        <f>1027138-357138</f>
        <v>670000</v>
      </c>
      <c r="I379" s="48"/>
      <c r="J379" s="48"/>
      <c r="K379" s="48"/>
      <c r="L379" s="48">
        <v>100</v>
      </c>
    </row>
    <row r="380" spans="1:12" ht="25.5">
      <c r="A380" s="39"/>
      <c r="B380" s="39"/>
      <c r="C380" s="78"/>
      <c r="D380" s="69" t="s">
        <v>346</v>
      </c>
      <c r="E380" s="91">
        <v>2021</v>
      </c>
      <c r="F380" s="94">
        <v>1331672</v>
      </c>
      <c r="G380" s="92"/>
      <c r="H380" s="92">
        <v>960000</v>
      </c>
      <c r="I380" s="48"/>
      <c r="J380" s="48"/>
      <c r="K380" s="48"/>
      <c r="L380" s="48">
        <v>100</v>
      </c>
    </row>
    <row r="381" spans="1:12" ht="25.5">
      <c r="A381" s="39"/>
      <c r="B381" s="39"/>
      <c r="C381" s="78"/>
      <c r="D381" s="69" t="s">
        <v>347</v>
      </c>
      <c r="E381" s="91">
        <v>2021</v>
      </c>
      <c r="F381" s="94">
        <f>350000</f>
        <v>350000</v>
      </c>
      <c r="G381" s="92"/>
      <c r="H381" s="92">
        <f>350000-100000</f>
        <v>250000</v>
      </c>
      <c r="I381" s="48"/>
      <c r="J381" s="48"/>
      <c r="K381" s="48"/>
      <c r="L381" s="48">
        <v>100</v>
      </c>
    </row>
    <row r="382" spans="1:12" ht="25.5">
      <c r="A382" s="39"/>
      <c r="B382" s="39"/>
      <c r="C382" s="78"/>
      <c r="D382" s="69" t="s">
        <v>348</v>
      </c>
      <c r="E382" s="91">
        <v>2021</v>
      </c>
      <c r="F382" s="94">
        <v>10000000</v>
      </c>
      <c r="G382" s="92"/>
      <c r="H382" s="92">
        <v>100000</v>
      </c>
      <c r="I382" s="48"/>
      <c r="J382" s="48">
        <f>10000000-100000</f>
        <v>9900000</v>
      </c>
      <c r="K382" s="48"/>
      <c r="L382" s="48">
        <v>100</v>
      </c>
    </row>
    <row r="383" spans="1:12" ht="25.5">
      <c r="A383" s="39"/>
      <c r="B383" s="39"/>
      <c r="C383" s="78"/>
      <c r="D383" s="69" t="s">
        <v>349</v>
      </c>
      <c r="E383" s="91">
        <v>2021</v>
      </c>
      <c r="F383" s="94">
        <v>100000</v>
      </c>
      <c r="G383" s="92"/>
      <c r="H383" s="92">
        <v>100000</v>
      </c>
      <c r="I383" s="48"/>
      <c r="J383" s="48"/>
      <c r="K383" s="48"/>
      <c r="L383" s="48">
        <v>100</v>
      </c>
    </row>
    <row r="384" spans="1:12" ht="38.25">
      <c r="A384" s="39"/>
      <c r="B384" s="39"/>
      <c r="C384" s="78"/>
      <c r="D384" s="69" t="s">
        <v>350</v>
      </c>
      <c r="E384" s="91">
        <v>2021</v>
      </c>
      <c r="F384" s="94">
        <v>100000</v>
      </c>
      <c r="G384" s="92"/>
      <c r="H384" s="92">
        <v>100000</v>
      </c>
      <c r="I384" s="48"/>
      <c r="J384" s="48"/>
      <c r="K384" s="48"/>
      <c r="L384" s="48">
        <v>100</v>
      </c>
    </row>
    <row r="385" spans="1:12" ht="25.5">
      <c r="A385" s="39"/>
      <c r="B385" s="39"/>
      <c r="C385" s="78"/>
      <c r="D385" s="69" t="s">
        <v>351</v>
      </c>
      <c r="E385" s="91">
        <v>2021</v>
      </c>
      <c r="F385" s="94">
        <v>50000</v>
      </c>
      <c r="G385" s="92"/>
      <c r="H385" s="92">
        <v>50000</v>
      </c>
      <c r="I385" s="48"/>
      <c r="J385" s="48"/>
      <c r="K385" s="48"/>
      <c r="L385" s="48">
        <v>100</v>
      </c>
    </row>
    <row r="386" spans="1:12" ht="24">
      <c r="A386" s="39"/>
      <c r="B386" s="39"/>
      <c r="C386" s="78"/>
      <c r="D386" s="93" t="s">
        <v>352</v>
      </c>
      <c r="E386" s="91" t="s">
        <v>46</v>
      </c>
      <c r="F386" s="94">
        <f>298000+250000</f>
        <v>548000</v>
      </c>
      <c r="G386" s="92"/>
      <c r="H386" s="92">
        <v>250000</v>
      </c>
      <c r="I386" s="48">
        <v>298000</v>
      </c>
      <c r="J386" s="48"/>
      <c r="K386" s="48"/>
      <c r="L386" s="48">
        <v>100</v>
      </c>
    </row>
    <row r="387" spans="1:12" ht="38.25">
      <c r="A387" s="39"/>
      <c r="B387" s="39"/>
      <c r="C387" s="78"/>
      <c r="D387" s="69" t="s">
        <v>353</v>
      </c>
      <c r="E387" s="91">
        <v>2021</v>
      </c>
      <c r="F387" s="94">
        <v>1000000</v>
      </c>
      <c r="G387" s="92"/>
      <c r="H387" s="92">
        <v>1000000</v>
      </c>
      <c r="I387" s="48"/>
      <c r="J387" s="48"/>
      <c r="K387" s="48"/>
      <c r="L387" s="48">
        <f>(G387+H387+I387+J387+K387)/F387*100</f>
        <v>100</v>
      </c>
    </row>
    <row r="388" spans="1:12" ht="25.5">
      <c r="A388" s="39"/>
      <c r="B388" s="39"/>
      <c r="C388" s="78"/>
      <c r="D388" s="69" t="s">
        <v>354</v>
      </c>
      <c r="E388" s="91" t="s">
        <v>46</v>
      </c>
      <c r="F388" s="94">
        <f>1000000+500000</f>
        <v>1500000</v>
      </c>
      <c r="G388" s="92"/>
      <c r="H388" s="92">
        <v>500000</v>
      </c>
      <c r="I388" s="48">
        <v>1000000</v>
      </c>
      <c r="J388" s="48"/>
      <c r="K388" s="48"/>
      <c r="L388" s="48">
        <v>100</v>
      </c>
    </row>
    <row r="389" spans="1:12" ht="25.5">
      <c r="A389" s="39"/>
      <c r="B389" s="39"/>
      <c r="C389" s="78"/>
      <c r="D389" s="68" t="s">
        <v>355</v>
      </c>
      <c r="E389" s="91">
        <v>2021</v>
      </c>
      <c r="F389" s="94">
        <v>250000</v>
      </c>
      <c r="G389" s="92"/>
      <c r="H389" s="92">
        <v>250000</v>
      </c>
      <c r="I389" s="48"/>
      <c r="J389" s="48"/>
      <c r="K389" s="48"/>
      <c r="L389" s="48">
        <v>100</v>
      </c>
    </row>
    <row r="390" spans="1:12" ht="25.5">
      <c r="A390" s="39"/>
      <c r="B390" s="39"/>
      <c r="C390" s="78"/>
      <c r="D390" s="68" t="s">
        <v>356</v>
      </c>
      <c r="E390" s="91" t="s">
        <v>46</v>
      </c>
      <c r="F390" s="94">
        <f>299000+240000</f>
        <v>539000</v>
      </c>
      <c r="G390" s="92"/>
      <c r="H390" s="92">
        <v>239000</v>
      </c>
      <c r="I390" s="48">
        <v>296300</v>
      </c>
      <c r="J390" s="48"/>
      <c r="K390" s="48"/>
      <c r="L390" s="48">
        <v>100</v>
      </c>
    </row>
    <row r="391" spans="1:12" ht="25.5">
      <c r="A391" s="39"/>
      <c r="B391" s="39"/>
      <c r="C391" s="78"/>
      <c r="D391" s="69" t="s">
        <v>357</v>
      </c>
      <c r="E391" s="91">
        <v>2021</v>
      </c>
      <c r="F391" s="94">
        <v>200000</v>
      </c>
      <c r="G391" s="92"/>
      <c r="H391" s="92">
        <v>200000</v>
      </c>
      <c r="I391" s="48"/>
      <c r="J391" s="48"/>
      <c r="K391" s="48"/>
      <c r="L391" s="48">
        <f>(G391+H391+I391+J391+K391)/F391*100</f>
        <v>100</v>
      </c>
    </row>
    <row r="392" spans="1:12" ht="25.5">
      <c r="A392" s="39"/>
      <c r="B392" s="39"/>
      <c r="C392" s="78"/>
      <c r="D392" s="69" t="s">
        <v>358</v>
      </c>
      <c r="E392" s="91" t="s">
        <v>46</v>
      </c>
      <c r="F392" s="94">
        <f>913211+340000</f>
        <v>1253211</v>
      </c>
      <c r="G392" s="92"/>
      <c r="H392" s="92">
        <v>620000</v>
      </c>
      <c r="I392" s="48">
        <v>630000</v>
      </c>
      <c r="J392" s="48"/>
      <c r="K392" s="48"/>
      <c r="L392" s="48">
        <v>100</v>
      </c>
    </row>
    <row r="393" spans="1:12" ht="25.5">
      <c r="A393" s="39"/>
      <c r="B393" s="39"/>
      <c r="C393" s="78"/>
      <c r="D393" s="69" t="s">
        <v>359</v>
      </c>
      <c r="E393" s="91">
        <v>2021</v>
      </c>
      <c r="F393" s="94">
        <v>200000</v>
      </c>
      <c r="G393" s="92"/>
      <c r="H393" s="92">
        <v>200000</v>
      </c>
      <c r="I393" s="48"/>
      <c r="J393" s="48"/>
      <c r="K393" s="48"/>
      <c r="L393" s="48">
        <f>(G393+H393+I393+J393+K393)/F393*100</f>
        <v>100</v>
      </c>
    </row>
    <row r="394" spans="1:12" ht="25.5">
      <c r="A394" s="39"/>
      <c r="B394" s="39"/>
      <c r="C394" s="78"/>
      <c r="D394" s="69" t="s">
        <v>360</v>
      </c>
      <c r="E394" s="91">
        <v>2021</v>
      </c>
      <c r="F394" s="94">
        <v>50000</v>
      </c>
      <c r="G394" s="92"/>
      <c r="H394" s="92">
        <v>50000</v>
      </c>
      <c r="I394" s="48"/>
      <c r="J394" s="48"/>
      <c r="K394" s="48"/>
      <c r="L394" s="48">
        <f>(G394+H394+I394+J394+K394)/F394*100</f>
        <v>100</v>
      </c>
    </row>
    <row r="395" spans="1:12" ht="25.5">
      <c r="A395" s="39"/>
      <c r="B395" s="39"/>
      <c r="C395" s="78"/>
      <c r="D395" s="69" t="s">
        <v>361</v>
      </c>
      <c r="E395" s="91" t="s">
        <v>46</v>
      </c>
      <c r="F395" s="94">
        <f>1286615+485000</f>
        <v>1771615</v>
      </c>
      <c r="G395" s="92"/>
      <c r="H395" s="92">
        <v>500000</v>
      </c>
      <c r="I395" s="48">
        <f>1271615</f>
        <v>1271615</v>
      </c>
      <c r="J395" s="48"/>
      <c r="K395" s="48"/>
      <c r="L395" s="48">
        <v>100</v>
      </c>
    </row>
    <row r="396" spans="1:12" ht="25.5">
      <c r="A396" s="39"/>
      <c r="B396" s="39"/>
      <c r="C396" s="78"/>
      <c r="D396" s="69" t="s">
        <v>362</v>
      </c>
      <c r="E396" s="91" t="s">
        <v>46</v>
      </c>
      <c r="F396" s="94">
        <f>299311</f>
        <v>299311</v>
      </c>
      <c r="G396" s="92"/>
      <c r="H396" s="92"/>
      <c r="I396" s="48">
        <f>284311</f>
        <v>284311</v>
      </c>
      <c r="J396" s="48"/>
      <c r="K396" s="48"/>
      <c r="L396" s="48">
        <v>100</v>
      </c>
    </row>
    <row r="397" spans="1:12" ht="25.5">
      <c r="A397" s="39"/>
      <c r="B397" s="39"/>
      <c r="C397" s="78"/>
      <c r="D397" s="69" t="s">
        <v>363</v>
      </c>
      <c r="E397" s="91" t="s">
        <v>46</v>
      </c>
      <c r="F397" s="94">
        <f>108059+90000</f>
        <v>198059</v>
      </c>
      <c r="G397" s="92"/>
      <c r="H397" s="92">
        <v>100000</v>
      </c>
      <c r="I397" s="48">
        <v>90000</v>
      </c>
      <c r="J397" s="48"/>
      <c r="K397" s="48"/>
      <c r="L397" s="48">
        <v>100</v>
      </c>
    </row>
    <row r="398" spans="1:12" ht="25.5">
      <c r="A398" s="39"/>
      <c r="B398" s="39"/>
      <c r="C398" s="78"/>
      <c r="D398" s="69" t="s">
        <v>364</v>
      </c>
      <c r="E398" s="91" t="s">
        <v>46</v>
      </c>
      <c r="F398" s="94">
        <f>720822+300000</f>
        <v>1020822</v>
      </c>
      <c r="G398" s="92"/>
      <c r="H398" s="92">
        <f>415000-116000</f>
        <v>299000</v>
      </c>
      <c r="I398" s="48">
        <f>718122</f>
        <v>718122</v>
      </c>
      <c r="J398" s="48"/>
      <c r="K398" s="48"/>
      <c r="L398" s="48">
        <v>100</v>
      </c>
    </row>
    <row r="399" spans="1:12" ht="25.5">
      <c r="A399" s="39"/>
      <c r="B399" s="39"/>
      <c r="C399" s="78"/>
      <c r="D399" s="69" t="s">
        <v>365</v>
      </c>
      <c r="E399" s="91" t="s">
        <v>46</v>
      </c>
      <c r="F399" s="95">
        <f>1472056+990000</f>
        <v>2462056</v>
      </c>
      <c r="G399" s="92"/>
      <c r="H399" s="92">
        <v>1000000</v>
      </c>
      <c r="I399" s="48">
        <f>1457656</f>
        <v>1457656</v>
      </c>
      <c r="J399" s="48"/>
      <c r="K399" s="48"/>
      <c r="L399" s="48">
        <v>100</v>
      </c>
    </row>
    <row r="400" spans="1:12" ht="25.5">
      <c r="A400" s="39"/>
      <c r="B400" s="39"/>
      <c r="C400" s="78"/>
      <c r="D400" s="69" t="s">
        <v>366</v>
      </c>
      <c r="E400" s="91">
        <v>2021</v>
      </c>
      <c r="F400" s="92">
        <v>500000</v>
      </c>
      <c r="G400" s="92"/>
      <c r="H400" s="92">
        <v>500000</v>
      </c>
      <c r="I400" s="48"/>
      <c r="J400" s="48"/>
      <c r="K400" s="48"/>
      <c r="L400" s="48">
        <f>(G400+H400+I400+J400+K400)/F400*100</f>
        <v>100</v>
      </c>
    </row>
    <row r="401" spans="1:12" ht="25.5">
      <c r="A401" s="39"/>
      <c r="B401" s="39"/>
      <c r="C401" s="78"/>
      <c r="D401" s="69" t="s">
        <v>367</v>
      </c>
      <c r="E401" s="91" t="s">
        <v>46</v>
      </c>
      <c r="F401" s="92">
        <f>1480747+1440000</f>
        <v>2920747</v>
      </c>
      <c r="G401" s="92"/>
      <c r="H401" s="92">
        <v>1450000</v>
      </c>
      <c r="I401" s="48">
        <f>1470747</f>
        <v>1470747</v>
      </c>
      <c r="J401" s="48"/>
      <c r="K401" s="48"/>
      <c r="L401" s="48">
        <f>(G401+H401+I401+J401+K401)/F401*100</f>
        <v>100</v>
      </c>
    </row>
    <row r="402" spans="1:12" ht="25.5">
      <c r="A402" s="39"/>
      <c r="B402" s="39"/>
      <c r="C402" s="78"/>
      <c r="D402" s="69" t="s">
        <v>368</v>
      </c>
      <c r="E402" s="91">
        <v>2021</v>
      </c>
      <c r="F402" s="92">
        <v>200000</v>
      </c>
      <c r="G402" s="92"/>
      <c r="H402" s="92">
        <v>200000</v>
      </c>
      <c r="I402" s="48"/>
      <c r="J402" s="48"/>
      <c r="K402" s="48"/>
      <c r="L402" s="48">
        <v>100</v>
      </c>
    </row>
    <row r="403" spans="1:12" ht="25.5">
      <c r="A403" s="39"/>
      <c r="B403" s="39"/>
      <c r="C403" s="78"/>
      <c r="D403" s="69" t="s">
        <v>369</v>
      </c>
      <c r="E403" s="91">
        <v>2021</v>
      </c>
      <c r="F403" s="92">
        <v>500000</v>
      </c>
      <c r="G403" s="92"/>
      <c r="H403" s="92">
        <v>500000</v>
      </c>
      <c r="I403" s="48"/>
      <c r="J403" s="48"/>
      <c r="K403" s="48"/>
      <c r="L403" s="48">
        <v>100</v>
      </c>
    </row>
    <row r="404" spans="1:12" ht="25.5">
      <c r="A404" s="39"/>
      <c r="B404" s="39"/>
      <c r="C404" s="78"/>
      <c r="D404" s="69" t="s">
        <v>370</v>
      </c>
      <c r="E404" s="91">
        <v>2021</v>
      </c>
      <c r="F404" s="92">
        <v>50000</v>
      </c>
      <c r="G404" s="92"/>
      <c r="H404" s="92">
        <v>50000</v>
      </c>
      <c r="I404" s="48"/>
      <c r="J404" s="48"/>
      <c r="K404" s="48"/>
      <c r="L404" s="48">
        <v>100</v>
      </c>
    </row>
    <row r="405" spans="1:12" ht="25.5">
      <c r="A405" s="39"/>
      <c r="B405" s="39"/>
      <c r="C405" s="78"/>
      <c r="D405" s="69" t="s">
        <v>371</v>
      </c>
      <c r="E405" s="91" t="s">
        <v>46</v>
      </c>
      <c r="F405" s="92">
        <f>49978+50000</f>
        <v>99978</v>
      </c>
      <c r="G405" s="92"/>
      <c r="H405" s="92">
        <v>49000</v>
      </c>
      <c r="I405" s="48">
        <f>49978</f>
        <v>49978</v>
      </c>
      <c r="J405" s="48"/>
      <c r="K405" s="48"/>
      <c r="L405" s="48">
        <v>100</v>
      </c>
    </row>
    <row r="406" spans="1:12" ht="25.5">
      <c r="A406" s="39"/>
      <c r="B406" s="39"/>
      <c r="C406" s="78"/>
      <c r="D406" s="69" t="s">
        <v>372</v>
      </c>
      <c r="E406" s="91" t="s">
        <v>46</v>
      </c>
      <c r="F406" s="92">
        <f>1200000+750000</f>
        <v>1950000</v>
      </c>
      <c r="G406" s="92"/>
      <c r="H406" s="92">
        <f>1200000-450000</f>
        <v>750000</v>
      </c>
      <c r="I406" s="48">
        <f>1200000</f>
        <v>1200000</v>
      </c>
      <c r="J406" s="48"/>
      <c r="K406" s="48"/>
      <c r="L406" s="48">
        <v>100</v>
      </c>
    </row>
    <row r="407" spans="1:12" ht="25.5">
      <c r="A407" s="39"/>
      <c r="B407" s="39"/>
      <c r="C407" s="78"/>
      <c r="D407" s="69" t="s">
        <v>373</v>
      </c>
      <c r="E407" s="91" t="s">
        <v>46</v>
      </c>
      <c r="F407" s="92">
        <f>49000+50000</f>
        <v>99000</v>
      </c>
      <c r="G407" s="92"/>
      <c r="H407" s="92">
        <v>49000</v>
      </c>
      <c r="I407" s="48">
        <v>49000</v>
      </c>
      <c r="J407" s="48"/>
      <c r="K407" s="48"/>
      <c r="L407" s="48">
        <v>100</v>
      </c>
    </row>
    <row r="408" spans="1:12" ht="25.5">
      <c r="A408" s="39"/>
      <c r="B408" s="39"/>
      <c r="C408" s="78"/>
      <c r="D408" s="69" t="s">
        <v>374</v>
      </c>
      <c r="E408" s="91" t="s">
        <v>46</v>
      </c>
      <c r="F408" s="92">
        <f>100000+100000</f>
        <v>200000</v>
      </c>
      <c r="G408" s="92"/>
      <c r="H408" s="92">
        <v>100000</v>
      </c>
      <c r="I408" s="48">
        <v>100000</v>
      </c>
      <c r="J408" s="48"/>
      <c r="K408" s="48"/>
      <c r="L408" s="48">
        <v>100</v>
      </c>
    </row>
    <row r="409" spans="1:12" ht="25.5">
      <c r="A409" s="39"/>
      <c r="B409" s="39"/>
      <c r="C409" s="78"/>
      <c r="D409" s="69" t="s">
        <v>375</v>
      </c>
      <c r="E409" s="91" t="s">
        <v>46</v>
      </c>
      <c r="F409" s="92">
        <f>500000+500000</f>
        <v>1000000</v>
      </c>
      <c r="G409" s="92"/>
      <c r="H409" s="92">
        <v>500000</v>
      </c>
      <c r="I409" s="48">
        <v>500000</v>
      </c>
      <c r="J409" s="48"/>
      <c r="K409" s="48"/>
      <c r="L409" s="48">
        <v>100</v>
      </c>
    </row>
    <row r="410" spans="1:12" ht="25.5">
      <c r="A410" s="39"/>
      <c r="B410" s="39"/>
      <c r="C410" s="78"/>
      <c r="D410" s="69" t="s">
        <v>376</v>
      </c>
      <c r="E410" s="91" t="s">
        <v>46</v>
      </c>
      <c r="F410" s="92">
        <f t="shared" ref="F410:F416" si="37">100000+100000</f>
        <v>200000</v>
      </c>
      <c r="G410" s="92"/>
      <c r="H410" s="92">
        <v>100000</v>
      </c>
      <c r="I410" s="48">
        <v>100000</v>
      </c>
      <c r="J410" s="48"/>
      <c r="K410" s="48"/>
      <c r="L410" s="48">
        <v>100</v>
      </c>
    </row>
    <row r="411" spans="1:12" ht="25.5">
      <c r="A411" s="39"/>
      <c r="B411" s="39"/>
      <c r="C411" s="78"/>
      <c r="D411" s="69" t="s">
        <v>377</v>
      </c>
      <c r="E411" s="91" t="s">
        <v>46</v>
      </c>
      <c r="F411" s="92">
        <f t="shared" si="37"/>
        <v>200000</v>
      </c>
      <c r="G411" s="92"/>
      <c r="H411" s="92">
        <v>100000</v>
      </c>
      <c r="I411" s="92">
        <v>100000</v>
      </c>
      <c r="J411" s="48"/>
      <c r="K411" s="48"/>
      <c r="L411" s="48">
        <v>100</v>
      </c>
    </row>
    <row r="412" spans="1:12" ht="25.5">
      <c r="A412" s="39"/>
      <c r="B412" s="39"/>
      <c r="C412" s="78"/>
      <c r="D412" s="69" t="s">
        <v>378</v>
      </c>
      <c r="E412" s="91" t="s">
        <v>46</v>
      </c>
      <c r="F412" s="92">
        <f t="shared" si="37"/>
        <v>200000</v>
      </c>
      <c r="G412" s="92"/>
      <c r="H412" s="92">
        <v>100000</v>
      </c>
      <c r="I412" s="92">
        <v>100000</v>
      </c>
      <c r="J412" s="48"/>
      <c r="K412" s="48"/>
      <c r="L412" s="48">
        <v>100</v>
      </c>
    </row>
    <row r="413" spans="1:12" ht="25.5">
      <c r="A413" s="39"/>
      <c r="B413" s="39"/>
      <c r="C413" s="78"/>
      <c r="D413" s="69" t="s">
        <v>379</v>
      </c>
      <c r="E413" s="91" t="s">
        <v>46</v>
      </c>
      <c r="F413" s="92">
        <f t="shared" si="37"/>
        <v>200000</v>
      </c>
      <c r="G413" s="92"/>
      <c r="H413" s="92">
        <v>100000</v>
      </c>
      <c r="I413" s="92">
        <v>100000</v>
      </c>
      <c r="J413" s="48"/>
      <c r="K413" s="48"/>
      <c r="L413" s="48">
        <v>100</v>
      </c>
    </row>
    <row r="414" spans="1:12" ht="25.5">
      <c r="A414" s="39"/>
      <c r="B414" s="39"/>
      <c r="C414" s="78"/>
      <c r="D414" s="69" t="s">
        <v>380</v>
      </c>
      <c r="E414" s="91" t="s">
        <v>46</v>
      </c>
      <c r="F414" s="92">
        <f t="shared" si="37"/>
        <v>200000</v>
      </c>
      <c r="G414" s="92"/>
      <c r="H414" s="92">
        <v>100000</v>
      </c>
      <c r="I414" s="92">
        <v>100000</v>
      </c>
      <c r="J414" s="48"/>
      <c r="K414" s="48"/>
      <c r="L414" s="48">
        <v>100</v>
      </c>
    </row>
    <row r="415" spans="1:12" ht="25.5">
      <c r="A415" s="39"/>
      <c r="B415" s="39"/>
      <c r="C415" s="78"/>
      <c r="D415" s="69" t="s">
        <v>381</v>
      </c>
      <c r="E415" s="91" t="s">
        <v>46</v>
      </c>
      <c r="F415" s="92">
        <f t="shared" si="37"/>
        <v>200000</v>
      </c>
      <c r="G415" s="92"/>
      <c r="H415" s="92">
        <v>100000</v>
      </c>
      <c r="I415" s="92">
        <v>100000</v>
      </c>
      <c r="J415" s="48"/>
      <c r="K415" s="48"/>
      <c r="L415" s="48">
        <v>100</v>
      </c>
    </row>
    <row r="416" spans="1:12" ht="25.5">
      <c r="A416" s="39"/>
      <c r="B416" s="39"/>
      <c r="C416" s="78"/>
      <c r="D416" s="69" t="s">
        <v>382</v>
      </c>
      <c r="E416" s="91" t="s">
        <v>46</v>
      </c>
      <c r="F416" s="92">
        <f t="shared" si="37"/>
        <v>200000</v>
      </c>
      <c r="G416" s="92"/>
      <c r="H416" s="92">
        <v>100000</v>
      </c>
      <c r="I416" s="92">
        <v>100000</v>
      </c>
      <c r="J416" s="48"/>
      <c r="K416" s="48"/>
      <c r="L416" s="48">
        <v>100</v>
      </c>
    </row>
    <row r="417" spans="1:12" ht="25.5">
      <c r="A417" s="39"/>
      <c r="B417" s="39"/>
      <c r="C417" s="78"/>
      <c r="D417" s="69" t="s">
        <v>385</v>
      </c>
      <c r="E417" s="91" t="s">
        <v>46</v>
      </c>
      <c r="F417" s="92">
        <f>130000+130000</f>
        <v>260000</v>
      </c>
      <c r="G417" s="92"/>
      <c r="H417" s="92">
        <v>130000</v>
      </c>
      <c r="I417" s="92">
        <v>130000</v>
      </c>
      <c r="J417" s="48"/>
      <c r="K417" s="48"/>
      <c r="L417" s="48">
        <v>100</v>
      </c>
    </row>
    <row r="418" spans="1:12" ht="25.5">
      <c r="A418" s="39"/>
      <c r="B418" s="39"/>
      <c r="C418" s="78"/>
      <c r="D418" s="69" t="s">
        <v>386</v>
      </c>
      <c r="E418" s="91" t="s">
        <v>46</v>
      </c>
      <c r="F418" s="92">
        <f>200000+150000</f>
        <v>350000</v>
      </c>
      <c r="G418" s="92"/>
      <c r="H418" s="92">
        <v>150000</v>
      </c>
      <c r="I418" s="92">
        <v>200000</v>
      </c>
      <c r="J418" s="48"/>
      <c r="K418" s="48"/>
      <c r="L418" s="48">
        <v>100</v>
      </c>
    </row>
    <row r="419" spans="1:12" ht="25.5">
      <c r="A419" s="39"/>
      <c r="B419" s="39"/>
      <c r="C419" s="78"/>
      <c r="D419" s="69" t="s">
        <v>387</v>
      </c>
      <c r="E419" s="91" t="s">
        <v>46</v>
      </c>
      <c r="F419" s="92">
        <f>200000+150000</f>
        <v>350000</v>
      </c>
      <c r="G419" s="92"/>
      <c r="H419" s="92">
        <v>150000</v>
      </c>
      <c r="I419" s="92">
        <v>200000</v>
      </c>
      <c r="J419" s="48"/>
      <c r="K419" s="48"/>
      <c r="L419" s="48">
        <v>100</v>
      </c>
    </row>
    <row r="420" spans="1:12" ht="25.5">
      <c r="A420" s="39"/>
      <c r="B420" s="39"/>
      <c r="C420" s="78"/>
      <c r="D420" s="69" t="s">
        <v>388</v>
      </c>
      <c r="E420" s="91" t="s">
        <v>46</v>
      </c>
      <c r="F420" s="92">
        <f>200000+150000</f>
        <v>350000</v>
      </c>
      <c r="G420" s="92"/>
      <c r="H420" s="92">
        <v>150000</v>
      </c>
      <c r="I420" s="92">
        <v>200000</v>
      </c>
      <c r="J420" s="48"/>
      <c r="K420" s="48"/>
      <c r="L420" s="48">
        <v>100</v>
      </c>
    </row>
    <row r="421" spans="1:12" ht="38.25">
      <c r="A421" s="39"/>
      <c r="B421" s="39"/>
      <c r="C421" s="78"/>
      <c r="D421" s="62" t="s">
        <v>389</v>
      </c>
      <c r="E421" s="91">
        <v>2021</v>
      </c>
      <c r="F421" s="92">
        <v>300000</v>
      </c>
      <c r="G421" s="92"/>
      <c r="H421" s="92">
        <v>300000</v>
      </c>
      <c r="I421" s="48"/>
      <c r="J421" s="48"/>
      <c r="K421" s="48"/>
      <c r="L421" s="48">
        <f>(G421+H421+I421+J421+K421)/F421*100</f>
        <v>100</v>
      </c>
    </row>
    <row r="422" spans="1:12" ht="25.5">
      <c r="A422" s="39"/>
      <c r="B422" s="39"/>
      <c r="C422" s="78"/>
      <c r="D422" s="62" t="s">
        <v>390</v>
      </c>
      <c r="E422" s="91">
        <v>2021</v>
      </c>
      <c r="F422" s="92">
        <f>166867+40000</f>
        <v>206867</v>
      </c>
      <c r="G422" s="92"/>
      <c r="H422" s="92">
        <v>200000</v>
      </c>
      <c r="I422" s="48"/>
      <c r="J422" s="48"/>
      <c r="K422" s="48"/>
      <c r="L422" s="48">
        <v>100</v>
      </c>
    </row>
    <row r="423" spans="1:12" ht="38.25">
      <c r="A423" s="39"/>
      <c r="B423" s="39"/>
      <c r="C423" s="78"/>
      <c r="D423" s="62" t="s">
        <v>391</v>
      </c>
      <c r="E423" s="91">
        <v>2021</v>
      </c>
      <c r="F423" s="92">
        <v>300000</v>
      </c>
      <c r="G423" s="92"/>
      <c r="H423" s="92">
        <v>300000</v>
      </c>
      <c r="I423" s="48"/>
      <c r="J423" s="48"/>
      <c r="K423" s="48"/>
      <c r="L423" s="48">
        <f t="shared" ref="L423:L449" si="38">(G423+H423+I423+J423+K423)/F423*100</f>
        <v>100</v>
      </c>
    </row>
    <row r="424" spans="1:12" ht="51">
      <c r="A424" s="39"/>
      <c r="B424" s="39"/>
      <c r="C424" s="78"/>
      <c r="D424" s="69" t="s">
        <v>392</v>
      </c>
      <c r="E424" s="91">
        <v>2021</v>
      </c>
      <c r="F424" s="92">
        <v>500000</v>
      </c>
      <c r="G424" s="92"/>
      <c r="H424" s="92">
        <v>500000</v>
      </c>
      <c r="I424" s="48"/>
      <c r="J424" s="48"/>
      <c r="K424" s="48"/>
      <c r="L424" s="48">
        <f t="shared" si="38"/>
        <v>100</v>
      </c>
    </row>
    <row r="425" spans="1:12" ht="25.5">
      <c r="A425" s="39"/>
      <c r="B425" s="39"/>
      <c r="C425" s="78"/>
      <c r="D425" s="69" t="s">
        <v>393</v>
      </c>
      <c r="E425" s="91">
        <v>2021</v>
      </c>
      <c r="F425" s="92">
        <v>36258</v>
      </c>
      <c r="G425" s="92"/>
      <c r="H425" s="92">
        <v>36258</v>
      </c>
      <c r="I425" s="48"/>
      <c r="J425" s="48"/>
      <c r="K425" s="48"/>
      <c r="L425" s="48">
        <f t="shared" si="38"/>
        <v>100</v>
      </c>
    </row>
    <row r="426" spans="1:12" ht="25.5">
      <c r="A426" s="39"/>
      <c r="B426" s="39"/>
      <c r="C426" s="78"/>
      <c r="D426" s="69" t="s">
        <v>394</v>
      </c>
      <c r="E426" s="91" t="s">
        <v>395</v>
      </c>
      <c r="F426" s="92">
        <v>3000000</v>
      </c>
      <c r="G426" s="92"/>
      <c r="H426" s="92"/>
      <c r="I426" s="48"/>
      <c r="J426" s="48">
        <v>1500000</v>
      </c>
      <c r="K426" s="48">
        <v>1500000</v>
      </c>
      <c r="L426" s="48">
        <f t="shared" si="38"/>
        <v>100</v>
      </c>
    </row>
    <row r="427" spans="1:12" ht="25.5">
      <c r="A427" s="39"/>
      <c r="B427" s="39"/>
      <c r="C427" s="78"/>
      <c r="D427" s="69" t="s">
        <v>396</v>
      </c>
      <c r="E427" s="91" t="s">
        <v>395</v>
      </c>
      <c r="F427" s="92">
        <v>5000000</v>
      </c>
      <c r="G427" s="92"/>
      <c r="H427" s="92"/>
      <c r="I427" s="48"/>
      <c r="J427" s="48">
        <v>2500000</v>
      </c>
      <c r="K427" s="48">
        <v>2500000</v>
      </c>
      <c r="L427" s="48">
        <f t="shared" si="38"/>
        <v>100</v>
      </c>
    </row>
    <row r="428" spans="1:12" ht="15">
      <c r="A428" s="39"/>
      <c r="B428" s="39"/>
      <c r="C428" s="78"/>
      <c r="D428" s="69" t="s">
        <v>397</v>
      </c>
      <c r="E428" s="91" t="s">
        <v>395</v>
      </c>
      <c r="F428" s="92">
        <v>6000000</v>
      </c>
      <c r="G428" s="92"/>
      <c r="H428" s="92"/>
      <c r="I428" s="48"/>
      <c r="J428" s="48">
        <v>3000000</v>
      </c>
      <c r="K428" s="48">
        <v>3000000</v>
      </c>
      <c r="L428" s="48">
        <f t="shared" si="38"/>
        <v>100</v>
      </c>
    </row>
    <row r="429" spans="1:12" ht="15">
      <c r="A429" s="39"/>
      <c r="B429" s="39"/>
      <c r="C429" s="78"/>
      <c r="D429" s="69" t="s">
        <v>398</v>
      </c>
      <c r="E429" s="91" t="s">
        <v>395</v>
      </c>
      <c r="F429" s="92">
        <v>10000000</v>
      </c>
      <c r="G429" s="92"/>
      <c r="H429" s="92"/>
      <c r="I429" s="48"/>
      <c r="J429" s="48">
        <v>3000000</v>
      </c>
      <c r="K429" s="48">
        <v>7000000</v>
      </c>
      <c r="L429" s="48">
        <f t="shared" si="38"/>
        <v>100</v>
      </c>
    </row>
    <row r="430" spans="1:12" ht="15">
      <c r="A430" s="39"/>
      <c r="B430" s="39"/>
      <c r="C430" s="78"/>
      <c r="D430" s="69" t="s">
        <v>399</v>
      </c>
      <c r="E430" s="91" t="s">
        <v>395</v>
      </c>
      <c r="F430" s="92">
        <v>1000000</v>
      </c>
      <c r="G430" s="92"/>
      <c r="H430" s="92"/>
      <c r="I430" s="48"/>
      <c r="J430" s="48">
        <v>1000000</v>
      </c>
      <c r="K430" s="48"/>
      <c r="L430" s="48">
        <f t="shared" si="38"/>
        <v>100</v>
      </c>
    </row>
    <row r="431" spans="1:12" ht="25.5">
      <c r="A431" s="39"/>
      <c r="B431" s="39"/>
      <c r="C431" s="78"/>
      <c r="D431" s="69" t="s">
        <v>400</v>
      </c>
      <c r="E431" s="91" t="s">
        <v>395</v>
      </c>
      <c r="F431" s="92">
        <v>10000000</v>
      </c>
      <c r="G431" s="92"/>
      <c r="H431" s="92"/>
      <c r="I431" s="48"/>
      <c r="J431" s="48">
        <v>3000000</v>
      </c>
      <c r="K431" s="48">
        <v>7000000</v>
      </c>
      <c r="L431" s="48">
        <f t="shared" si="38"/>
        <v>100</v>
      </c>
    </row>
    <row r="432" spans="1:12" ht="15">
      <c r="A432" s="39"/>
      <c r="B432" s="39"/>
      <c r="C432" s="78"/>
      <c r="D432" s="69" t="s">
        <v>401</v>
      </c>
      <c r="E432" s="91">
        <v>2023</v>
      </c>
      <c r="F432" s="92">
        <v>1000000</v>
      </c>
      <c r="G432" s="92"/>
      <c r="H432" s="92"/>
      <c r="I432" s="48"/>
      <c r="J432" s="48">
        <v>1000000</v>
      </c>
      <c r="K432" s="48"/>
      <c r="L432" s="48">
        <f t="shared" si="38"/>
        <v>100</v>
      </c>
    </row>
    <row r="433" spans="1:12" ht="15">
      <c r="A433" s="39"/>
      <c r="B433" s="39"/>
      <c r="C433" s="78"/>
      <c r="D433" s="69" t="s">
        <v>402</v>
      </c>
      <c r="E433" s="91">
        <v>2023</v>
      </c>
      <c r="F433" s="92">
        <v>5000000</v>
      </c>
      <c r="G433" s="92"/>
      <c r="H433" s="92"/>
      <c r="I433" s="48"/>
      <c r="J433" s="48">
        <v>5000000</v>
      </c>
      <c r="K433" s="48"/>
      <c r="L433" s="48">
        <f t="shared" si="38"/>
        <v>100</v>
      </c>
    </row>
    <row r="434" spans="1:12" ht="15">
      <c r="A434" s="39"/>
      <c r="B434" s="39"/>
      <c r="C434" s="78"/>
      <c r="D434" s="69" t="s">
        <v>403</v>
      </c>
      <c r="E434" s="91">
        <v>2023</v>
      </c>
      <c r="F434" s="92">
        <v>5000000</v>
      </c>
      <c r="G434" s="92"/>
      <c r="H434" s="92"/>
      <c r="I434" s="48"/>
      <c r="J434" s="48">
        <v>5000000</v>
      </c>
      <c r="K434" s="48"/>
      <c r="L434" s="48">
        <f t="shared" si="38"/>
        <v>100</v>
      </c>
    </row>
    <row r="435" spans="1:12" ht="25.5">
      <c r="A435" s="39"/>
      <c r="B435" s="39"/>
      <c r="C435" s="78"/>
      <c r="D435" s="69" t="s">
        <v>404</v>
      </c>
      <c r="E435" s="91">
        <v>2023</v>
      </c>
      <c r="F435" s="92">
        <v>4000000</v>
      </c>
      <c r="G435" s="92"/>
      <c r="H435" s="92"/>
      <c r="I435" s="48"/>
      <c r="J435" s="48">
        <v>4000000</v>
      </c>
      <c r="K435" s="48"/>
      <c r="L435" s="48">
        <f>(G435+H435+I435+J435+K435)/F435*100</f>
        <v>100</v>
      </c>
    </row>
    <row r="436" spans="1:12" ht="25.5">
      <c r="A436" s="39"/>
      <c r="B436" s="39"/>
      <c r="C436" s="78"/>
      <c r="D436" s="69" t="s">
        <v>405</v>
      </c>
      <c r="E436" s="91">
        <v>2023</v>
      </c>
      <c r="F436" s="92">
        <v>6000000</v>
      </c>
      <c r="G436" s="92"/>
      <c r="H436" s="92"/>
      <c r="I436" s="48"/>
      <c r="J436" s="48">
        <v>6000000</v>
      </c>
      <c r="K436" s="48"/>
      <c r="L436" s="48">
        <f>(G436+H436+I436+J436+K436)/F436*100</f>
        <v>100</v>
      </c>
    </row>
    <row r="437" spans="1:12" ht="25.5">
      <c r="A437" s="39"/>
      <c r="B437" s="39"/>
      <c r="C437" s="78"/>
      <c r="D437" s="69" t="s">
        <v>406</v>
      </c>
      <c r="E437" s="91">
        <v>2023</v>
      </c>
      <c r="F437" s="48">
        <v>299900</v>
      </c>
      <c r="G437" s="48"/>
      <c r="H437" s="48"/>
      <c r="I437" s="48"/>
      <c r="J437" s="48">
        <v>299900</v>
      </c>
      <c r="K437" s="48"/>
      <c r="L437" s="48">
        <f t="shared" si="38"/>
        <v>100</v>
      </c>
    </row>
    <row r="438" spans="1:12" ht="25.5">
      <c r="A438" s="39"/>
      <c r="B438" s="39"/>
      <c r="C438" s="78"/>
      <c r="D438" s="69" t="s">
        <v>407</v>
      </c>
      <c r="E438" s="91">
        <v>2023</v>
      </c>
      <c r="F438" s="48">
        <v>552000</v>
      </c>
      <c r="G438" s="48"/>
      <c r="H438" s="48"/>
      <c r="I438" s="48"/>
      <c r="J438" s="48">
        <v>552000</v>
      </c>
      <c r="K438" s="48"/>
      <c r="L438" s="48">
        <f t="shared" si="38"/>
        <v>100</v>
      </c>
    </row>
    <row r="439" spans="1:12" ht="25.5">
      <c r="A439" s="39"/>
      <c r="B439" s="39"/>
      <c r="C439" s="78"/>
      <c r="D439" s="69" t="s">
        <v>408</v>
      </c>
      <c r="E439" s="91">
        <v>2023</v>
      </c>
      <c r="F439" s="48">
        <v>299000</v>
      </c>
      <c r="G439" s="48"/>
      <c r="H439" s="48"/>
      <c r="I439" s="48"/>
      <c r="J439" s="48">
        <v>299000</v>
      </c>
      <c r="K439" s="48"/>
      <c r="L439" s="48">
        <f t="shared" si="38"/>
        <v>100</v>
      </c>
    </row>
    <row r="440" spans="1:12" ht="25.5">
      <c r="A440" s="39"/>
      <c r="B440" s="39"/>
      <c r="C440" s="78"/>
      <c r="D440" s="69" t="s">
        <v>409</v>
      </c>
      <c r="E440" s="91">
        <v>2023</v>
      </c>
      <c r="F440" s="48">
        <v>157000</v>
      </c>
      <c r="G440" s="48"/>
      <c r="H440" s="48"/>
      <c r="I440" s="48"/>
      <c r="J440" s="48">
        <v>157000</v>
      </c>
      <c r="K440" s="48"/>
      <c r="L440" s="48">
        <f t="shared" si="38"/>
        <v>100</v>
      </c>
    </row>
    <row r="441" spans="1:12" ht="15">
      <c r="A441" s="39"/>
      <c r="B441" s="39"/>
      <c r="C441" s="78"/>
      <c r="D441" s="93" t="s">
        <v>410</v>
      </c>
      <c r="E441" s="91">
        <v>2023</v>
      </c>
      <c r="F441" s="48">
        <v>2500000</v>
      </c>
      <c r="G441" s="96"/>
      <c r="H441" s="48"/>
      <c r="I441" s="48"/>
      <c r="J441" s="48">
        <v>2500000</v>
      </c>
      <c r="K441" s="48"/>
      <c r="L441" s="48">
        <f t="shared" si="38"/>
        <v>100</v>
      </c>
    </row>
    <row r="442" spans="1:12" ht="25.5">
      <c r="A442" s="39"/>
      <c r="B442" s="39"/>
      <c r="C442" s="78"/>
      <c r="D442" s="69" t="s">
        <v>411</v>
      </c>
      <c r="E442" s="91">
        <v>2023</v>
      </c>
      <c r="F442" s="48">
        <v>190000</v>
      </c>
      <c r="G442" s="48"/>
      <c r="H442" s="48"/>
      <c r="I442" s="48"/>
      <c r="J442" s="48">
        <v>190000</v>
      </c>
      <c r="K442" s="48"/>
      <c r="L442" s="48">
        <f t="shared" si="38"/>
        <v>100</v>
      </c>
    </row>
    <row r="443" spans="1:12" ht="15">
      <c r="A443" s="39"/>
      <c r="B443" s="39"/>
      <c r="C443" s="78"/>
      <c r="D443" s="69" t="s">
        <v>412</v>
      </c>
      <c r="E443" s="91">
        <v>2023</v>
      </c>
      <c r="F443" s="48">
        <v>900000</v>
      </c>
      <c r="G443" s="48"/>
      <c r="H443" s="48"/>
      <c r="I443" s="48"/>
      <c r="J443" s="48">
        <v>900000</v>
      </c>
      <c r="K443" s="48"/>
      <c r="L443" s="48">
        <f t="shared" si="38"/>
        <v>100</v>
      </c>
    </row>
    <row r="444" spans="1:12" ht="15">
      <c r="A444" s="39"/>
      <c r="B444" s="39"/>
      <c r="C444" s="78"/>
      <c r="D444" s="69" t="s">
        <v>413</v>
      </c>
      <c r="E444" s="91">
        <v>2023</v>
      </c>
      <c r="F444" s="48">
        <v>2400000</v>
      </c>
      <c r="G444" s="48"/>
      <c r="H444" s="48"/>
      <c r="I444" s="48"/>
      <c r="J444" s="48">
        <v>2400000</v>
      </c>
      <c r="K444" s="48"/>
      <c r="L444" s="48">
        <f t="shared" si="38"/>
        <v>100</v>
      </c>
    </row>
    <row r="445" spans="1:12" ht="15">
      <c r="A445" s="39"/>
      <c r="B445" s="39"/>
      <c r="C445" s="78"/>
      <c r="D445" s="69" t="s">
        <v>414</v>
      </c>
      <c r="E445" s="91" t="s">
        <v>395</v>
      </c>
      <c r="F445" s="48">
        <v>10000000</v>
      </c>
      <c r="G445" s="48"/>
      <c r="H445" s="48"/>
      <c r="I445" s="48"/>
      <c r="J445" s="48">
        <f>4856388</f>
        <v>4856388</v>
      </c>
      <c r="K445" s="48">
        <f>F445-J445</f>
        <v>5143612</v>
      </c>
      <c r="L445" s="48">
        <f t="shared" si="38"/>
        <v>100</v>
      </c>
    </row>
    <row r="446" spans="1:12" ht="15">
      <c r="A446" s="39"/>
      <c r="B446" s="39"/>
      <c r="C446" s="78"/>
      <c r="D446" s="69" t="s">
        <v>415</v>
      </c>
      <c r="E446" s="91">
        <v>2023</v>
      </c>
      <c r="F446" s="48">
        <v>1000000</v>
      </c>
      <c r="G446" s="48"/>
      <c r="H446" s="48"/>
      <c r="I446" s="48"/>
      <c r="J446" s="48">
        <v>1000000</v>
      </c>
      <c r="K446" s="48"/>
      <c r="L446" s="48">
        <f t="shared" si="38"/>
        <v>100</v>
      </c>
    </row>
    <row r="447" spans="1:12" ht="38.25">
      <c r="A447" s="39"/>
      <c r="B447" s="39"/>
      <c r="C447" s="78"/>
      <c r="D447" s="69" t="s">
        <v>416</v>
      </c>
      <c r="E447" s="88">
        <v>2024</v>
      </c>
      <c r="F447" s="48">
        <v>1400000</v>
      </c>
      <c r="G447" s="48"/>
      <c r="H447" s="48"/>
      <c r="I447" s="48"/>
      <c r="J447" s="48"/>
      <c r="K447" s="48">
        <v>1400000</v>
      </c>
      <c r="L447" s="48">
        <f t="shared" si="38"/>
        <v>100</v>
      </c>
    </row>
    <row r="448" spans="1:12" ht="38.25">
      <c r="A448" s="39"/>
      <c r="B448" s="39"/>
      <c r="C448" s="78"/>
      <c r="D448" s="69" t="s">
        <v>417</v>
      </c>
      <c r="E448" s="88">
        <v>2024</v>
      </c>
      <c r="F448" s="48">
        <v>8000000</v>
      </c>
      <c r="G448" s="48"/>
      <c r="H448" s="48"/>
      <c r="I448" s="48"/>
      <c r="J448" s="48"/>
      <c r="K448" s="48">
        <v>8000000</v>
      </c>
      <c r="L448" s="48">
        <f t="shared" si="38"/>
        <v>100</v>
      </c>
    </row>
    <row r="449" spans="1:12" ht="12.75">
      <c r="A449" s="39"/>
      <c r="B449" s="39"/>
      <c r="C449" s="78"/>
      <c r="D449" s="69" t="s">
        <v>418</v>
      </c>
      <c r="E449" s="88">
        <v>2024</v>
      </c>
      <c r="F449" s="48">
        <v>10000000</v>
      </c>
      <c r="G449" s="48"/>
      <c r="H449" s="48"/>
      <c r="I449" s="48"/>
      <c r="J449" s="48"/>
      <c r="K449" s="48">
        <v>10000000</v>
      </c>
      <c r="L449" s="48">
        <f t="shared" si="38"/>
        <v>100</v>
      </c>
    </row>
    <row r="450" spans="1:12" ht="12.75">
      <c r="A450" s="39"/>
      <c r="B450" s="39"/>
      <c r="C450" s="39"/>
      <c r="D450" s="39"/>
      <c r="E450" s="41"/>
      <c r="F450" s="54"/>
      <c r="G450" s="54"/>
      <c r="H450" s="54"/>
      <c r="I450" s="54"/>
      <c r="J450" s="54"/>
      <c r="K450" s="54"/>
      <c r="L450" s="39"/>
    </row>
    <row r="451" spans="1:12" ht="45.75" customHeight="1">
      <c r="A451" s="97" t="s">
        <v>132</v>
      </c>
      <c r="B451" s="33" t="s">
        <v>17</v>
      </c>
      <c r="C451" s="44" t="s">
        <v>18</v>
      </c>
      <c r="D451" s="39"/>
      <c r="E451" s="41"/>
      <c r="F451" s="52">
        <f t="shared" ref="F451:K451" si="39">F452</f>
        <v>70000</v>
      </c>
      <c r="G451" s="52">
        <f t="shared" si="39"/>
        <v>0</v>
      </c>
      <c r="H451" s="52">
        <f t="shared" si="39"/>
        <v>70000</v>
      </c>
      <c r="I451" s="52">
        <f t="shared" si="39"/>
        <v>0</v>
      </c>
      <c r="J451" s="52">
        <f t="shared" si="39"/>
        <v>0</v>
      </c>
      <c r="K451" s="52">
        <f t="shared" si="39"/>
        <v>0</v>
      </c>
      <c r="L451" s="39"/>
    </row>
    <row r="452" spans="1:12" ht="25.5">
      <c r="A452" s="39"/>
      <c r="B452" s="39"/>
      <c r="C452" s="39"/>
      <c r="D452" s="46" t="s">
        <v>424</v>
      </c>
      <c r="E452" s="41" t="s">
        <v>88</v>
      </c>
      <c r="F452" s="42">
        <v>70000</v>
      </c>
      <c r="G452" s="42"/>
      <c r="H452" s="42">
        <v>70000</v>
      </c>
      <c r="I452" s="42"/>
      <c r="J452" s="42"/>
      <c r="K452" s="42"/>
      <c r="L452" s="41">
        <v>100</v>
      </c>
    </row>
    <row r="453" spans="1:12" ht="12.75">
      <c r="A453" s="39"/>
      <c r="B453" s="39"/>
      <c r="C453" s="39"/>
      <c r="D453" s="39"/>
      <c r="E453" s="41"/>
      <c r="F453" s="54"/>
      <c r="G453" s="54"/>
      <c r="H453" s="54"/>
      <c r="I453" s="54"/>
      <c r="J453" s="54"/>
      <c r="K453" s="54"/>
      <c r="L453" s="39"/>
    </row>
    <row r="454" spans="1:12" ht="58.5" customHeight="1">
      <c r="A454" s="57" t="s">
        <v>133</v>
      </c>
      <c r="B454" s="60">
        <v>7370</v>
      </c>
      <c r="C454" s="44" t="s">
        <v>134</v>
      </c>
      <c r="D454" s="39"/>
      <c r="E454" s="41"/>
      <c r="F454" s="52">
        <f t="shared" ref="F454:K454" si="40">SUM(F455:F466)</f>
        <v>55062772</v>
      </c>
      <c r="G454" s="52">
        <f t="shared" si="40"/>
        <v>832529.99</v>
      </c>
      <c r="H454" s="52">
        <f t="shared" si="40"/>
        <v>753000</v>
      </c>
      <c r="I454" s="52">
        <f t="shared" si="40"/>
        <v>0</v>
      </c>
      <c r="J454" s="52">
        <f t="shared" si="40"/>
        <v>0</v>
      </c>
      <c r="K454" s="52">
        <f t="shared" si="40"/>
        <v>29750919</v>
      </c>
      <c r="L454" s="74"/>
    </row>
    <row r="455" spans="1:12" ht="25.5">
      <c r="A455" s="39"/>
      <c r="B455" s="39"/>
      <c r="C455" s="78"/>
      <c r="D455" s="46" t="s">
        <v>147</v>
      </c>
      <c r="E455" s="36" t="s">
        <v>88</v>
      </c>
      <c r="F455" s="50">
        <v>1414772</v>
      </c>
      <c r="G455" s="50">
        <v>832529.99</v>
      </c>
      <c r="H455" s="50">
        <f>105000</f>
        <v>105000</v>
      </c>
      <c r="I455" s="50"/>
      <c r="J455" s="50"/>
      <c r="K455" s="50"/>
      <c r="L455" s="50">
        <v>66</v>
      </c>
    </row>
    <row r="456" spans="1:12" ht="38.25">
      <c r="A456" s="39"/>
      <c r="B456" s="39"/>
      <c r="C456" s="78"/>
      <c r="D456" s="46" t="s">
        <v>156</v>
      </c>
      <c r="E456" s="36">
        <v>2021</v>
      </c>
      <c r="F456" s="50">
        <v>298000</v>
      </c>
      <c r="G456" s="50"/>
      <c r="H456" s="50">
        <v>298000</v>
      </c>
      <c r="I456" s="50"/>
      <c r="J456" s="50"/>
      <c r="K456" s="50"/>
      <c r="L456" s="50">
        <v>100</v>
      </c>
    </row>
    <row r="457" spans="1:12" ht="25.5">
      <c r="A457" s="39"/>
      <c r="B457" s="39"/>
      <c r="C457" s="78"/>
      <c r="D457" s="46" t="s">
        <v>157</v>
      </c>
      <c r="E457" s="36">
        <v>2021</v>
      </c>
      <c r="F457" s="50">
        <v>100000</v>
      </c>
      <c r="G457" s="50"/>
      <c r="H457" s="50">
        <v>100000</v>
      </c>
      <c r="I457" s="50"/>
      <c r="J457" s="50"/>
      <c r="K457" s="50"/>
      <c r="L457" s="50">
        <v>100</v>
      </c>
    </row>
    <row r="458" spans="1:12" ht="25.5">
      <c r="A458" s="39"/>
      <c r="B458" s="39"/>
      <c r="C458" s="78"/>
      <c r="D458" s="46" t="s">
        <v>158</v>
      </c>
      <c r="E458" s="36">
        <v>2021</v>
      </c>
      <c r="F458" s="50">
        <v>50000</v>
      </c>
      <c r="G458" s="50"/>
      <c r="H458" s="50">
        <v>50000</v>
      </c>
      <c r="I458" s="50"/>
      <c r="J458" s="50"/>
      <c r="K458" s="50"/>
      <c r="L458" s="50">
        <v>100</v>
      </c>
    </row>
    <row r="459" spans="1:12" ht="25.5">
      <c r="A459" s="39"/>
      <c r="B459" s="39"/>
      <c r="C459" s="78"/>
      <c r="D459" s="46" t="s">
        <v>159</v>
      </c>
      <c r="E459" s="36">
        <v>2021</v>
      </c>
      <c r="F459" s="50">
        <v>50000</v>
      </c>
      <c r="G459" s="50"/>
      <c r="H459" s="50">
        <v>50000</v>
      </c>
      <c r="I459" s="50"/>
      <c r="J459" s="50"/>
      <c r="K459" s="50"/>
      <c r="L459" s="50">
        <v>100</v>
      </c>
    </row>
    <row r="460" spans="1:12" ht="25.5">
      <c r="A460" s="39"/>
      <c r="B460" s="39"/>
      <c r="C460" s="78"/>
      <c r="D460" s="46" t="s">
        <v>160</v>
      </c>
      <c r="E460" s="36">
        <v>2021</v>
      </c>
      <c r="F460" s="50">
        <v>50000</v>
      </c>
      <c r="G460" s="50"/>
      <c r="H460" s="50">
        <v>50000</v>
      </c>
      <c r="I460" s="50"/>
      <c r="J460" s="50"/>
      <c r="K460" s="50"/>
      <c r="L460" s="50">
        <v>100</v>
      </c>
    </row>
    <row r="461" spans="1:12" ht="25.5">
      <c r="A461" s="39"/>
      <c r="B461" s="39"/>
      <c r="C461" s="78"/>
      <c r="D461" s="46" t="s">
        <v>161</v>
      </c>
      <c r="E461" s="36">
        <v>2021</v>
      </c>
      <c r="F461" s="50">
        <v>50000</v>
      </c>
      <c r="G461" s="50"/>
      <c r="H461" s="50">
        <v>50000</v>
      </c>
      <c r="I461" s="50"/>
      <c r="J461" s="50"/>
      <c r="K461" s="50"/>
      <c r="L461" s="50">
        <v>100</v>
      </c>
    </row>
    <row r="462" spans="1:12" ht="25.5">
      <c r="A462" s="39"/>
      <c r="B462" s="39"/>
      <c r="C462" s="78"/>
      <c r="D462" s="46" t="s">
        <v>162</v>
      </c>
      <c r="E462" s="36">
        <v>2021</v>
      </c>
      <c r="F462" s="50">
        <v>50000</v>
      </c>
      <c r="G462" s="50"/>
      <c r="H462" s="50">
        <v>50000</v>
      </c>
      <c r="I462" s="50"/>
      <c r="J462" s="50"/>
      <c r="K462" s="50"/>
      <c r="L462" s="50">
        <v>100</v>
      </c>
    </row>
    <row r="463" spans="1:12" ht="12.75">
      <c r="A463" s="39"/>
      <c r="B463" s="39"/>
      <c r="C463" s="78"/>
      <c r="D463" s="69" t="s">
        <v>419</v>
      </c>
      <c r="E463" s="88">
        <v>2024</v>
      </c>
      <c r="F463" s="48">
        <v>10000000</v>
      </c>
      <c r="G463" s="48"/>
      <c r="H463" s="48"/>
      <c r="I463" s="48"/>
      <c r="J463" s="48"/>
      <c r="K463" s="48">
        <v>10000000</v>
      </c>
      <c r="L463" s="48">
        <f>(G463+H463+I463+J463+K463)/F463*100</f>
        <v>100</v>
      </c>
    </row>
    <row r="464" spans="1:12" ht="25.5">
      <c r="A464" s="39"/>
      <c r="B464" s="39"/>
      <c r="C464" s="78"/>
      <c r="D464" s="69" t="s">
        <v>420</v>
      </c>
      <c r="E464" s="88">
        <v>2024</v>
      </c>
      <c r="F464" s="48">
        <v>4500000</v>
      </c>
      <c r="G464" s="48"/>
      <c r="H464" s="48"/>
      <c r="I464" s="48"/>
      <c r="J464" s="48"/>
      <c r="K464" s="48">
        <v>4500000</v>
      </c>
      <c r="L464" s="48">
        <f>(G464+H464+I464+J464+K464)/F464*100</f>
        <v>100</v>
      </c>
    </row>
    <row r="465" spans="1:12" ht="25.5">
      <c r="A465" s="39"/>
      <c r="B465" s="39"/>
      <c r="C465" s="78"/>
      <c r="D465" s="69" t="s">
        <v>421</v>
      </c>
      <c r="E465" s="88">
        <v>2024</v>
      </c>
      <c r="F465" s="48">
        <v>2500000</v>
      </c>
      <c r="G465" s="48"/>
      <c r="H465" s="48"/>
      <c r="I465" s="48"/>
      <c r="J465" s="48"/>
      <c r="K465" s="48">
        <v>2500000</v>
      </c>
      <c r="L465" s="48">
        <f>(G465+H465+I465+J465+K465)/F465*100</f>
        <v>100</v>
      </c>
    </row>
    <row r="466" spans="1:12" ht="25.5">
      <c r="A466" s="39"/>
      <c r="B466" s="39"/>
      <c r="C466" s="78"/>
      <c r="D466" s="69" t="s">
        <v>422</v>
      </c>
      <c r="E466" s="88" t="s">
        <v>423</v>
      </c>
      <c r="F466" s="48">
        <v>36000000</v>
      </c>
      <c r="G466" s="48"/>
      <c r="H466" s="48"/>
      <c r="I466" s="48"/>
      <c r="J466" s="48"/>
      <c r="K466" s="48">
        <f>12750919</f>
        <v>12750919</v>
      </c>
      <c r="L466" s="48">
        <f>(G466+H466+I466+J466+K466)/F466*100</f>
        <v>35.419219444444444</v>
      </c>
    </row>
    <row r="467" spans="1:12" ht="12.75">
      <c r="A467" s="39"/>
      <c r="B467" s="39"/>
      <c r="C467" s="39"/>
      <c r="D467" s="39"/>
      <c r="E467" s="41"/>
      <c r="F467" s="54"/>
      <c r="G467" s="54"/>
      <c r="H467" s="54"/>
      <c r="I467" s="54"/>
      <c r="J467" s="54"/>
      <c r="K467" s="54"/>
      <c r="L467" s="39"/>
    </row>
    <row r="468" spans="1:12" ht="38.25">
      <c r="A468" s="60">
        <v>3117670</v>
      </c>
      <c r="B468" s="57">
        <v>7670</v>
      </c>
      <c r="C468" s="44" t="s">
        <v>138</v>
      </c>
      <c r="D468" s="39"/>
      <c r="E468" s="41"/>
      <c r="F468" s="52">
        <f t="shared" ref="F468:K468" si="41">SUM(F469:F471)</f>
        <v>2058299</v>
      </c>
      <c r="G468" s="52">
        <f t="shared" si="41"/>
        <v>787299</v>
      </c>
      <c r="H468" s="52">
        <f t="shared" si="41"/>
        <v>1271000</v>
      </c>
      <c r="I468" s="52">
        <f t="shared" si="41"/>
        <v>0</v>
      </c>
      <c r="J468" s="52">
        <f t="shared" si="41"/>
        <v>0</v>
      </c>
      <c r="K468" s="52">
        <f t="shared" si="41"/>
        <v>0</v>
      </c>
      <c r="L468" s="39"/>
    </row>
    <row r="469" spans="1:12" ht="21" customHeight="1">
      <c r="A469" s="39"/>
      <c r="B469" s="39"/>
      <c r="C469" s="39"/>
      <c r="D469" s="98" t="s">
        <v>163</v>
      </c>
      <c r="E469" s="36" t="s">
        <v>88</v>
      </c>
      <c r="F469" s="50">
        <v>785741</v>
      </c>
      <c r="G469" s="50">
        <v>85741</v>
      </c>
      <c r="H469" s="50">
        <v>700000</v>
      </c>
      <c r="I469" s="50"/>
      <c r="J469" s="50"/>
      <c r="K469" s="50"/>
      <c r="L469" s="50">
        <v>100</v>
      </c>
    </row>
    <row r="470" spans="1:12" ht="19.5" customHeight="1">
      <c r="A470" s="39"/>
      <c r="B470" s="39"/>
      <c r="C470" s="39"/>
      <c r="D470" s="46" t="s">
        <v>164</v>
      </c>
      <c r="E470" s="36" t="s">
        <v>88</v>
      </c>
      <c r="F470" s="50">
        <f>G470+H470</f>
        <v>1240560</v>
      </c>
      <c r="G470" s="50">
        <v>669560</v>
      </c>
      <c r="H470" s="50">
        <f>571000</f>
        <v>571000</v>
      </c>
      <c r="I470" s="50"/>
      <c r="J470" s="50"/>
      <c r="K470" s="50"/>
      <c r="L470" s="50">
        <v>100</v>
      </c>
    </row>
    <row r="471" spans="1:12" ht="28.5" customHeight="1">
      <c r="A471" s="39"/>
      <c r="B471" s="39"/>
      <c r="C471" s="39"/>
      <c r="D471" s="98" t="s">
        <v>165</v>
      </c>
      <c r="E471" s="36">
        <v>2021</v>
      </c>
      <c r="F471" s="50">
        <f>G471</f>
        <v>31998</v>
      </c>
      <c r="G471" s="50">
        <v>31998</v>
      </c>
      <c r="H471" s="50"/>
      <c r="I471" s="50"/>
      <c r="J471" s="50"/>
      <c r="K471" s="50"/>
      <c r="L471" s="50">
        <v>100</v>
      </c>
    </row>
    <row r="472" spans="1:12" ht="12.75">
      <c r="A472" s="39"/>
      <c r="B472" s="39"/>
      <c r="C472" s="39"/>
      <c r="D472" s="39"/>
      <c r="E472" s="41"/>
      <c r="F472" s="54"/>
      <c r="G472" s="54"/>
      <c r="H472" s="54"/>
      <c r="I472" s="54"/>
      <c r="J472" s="54"/>
      <c r="K472" s="54"/>
      <c r="L472" s="39"/>
    </row>
    <row r="473" spans="1:12" ht="60" customHeight="1">
      <c r="A473" s="33" t="s">
        <v>135</v>
      </c>
      <c r="B473" s="33" t="s">
        <v>136</v>
      </c>
      <c r="C473" s="63" t="s">
        <v>137</v>
      </c>
      <c r="D473" s="39"/>
      <c r="E473" s="41"/>
      <c r="F473" s="52">
        <f t="shared" ref="F473:K473" si="42">SUM(F474:F475)</f>
        <v>1000000</v>
      </c>
      <c r="G473" s="52">
        <f t="shared" si="42"/>
        <v>0</v>
      </c>
      <c r="H473" s="52">
        <f t="shared" si="42"/>
        <v>1000000</v>
      </c>
      <c r="I473" s="52">
        <f t="shared" si="42"/>
        <v>0</v>
      </c>
      <c r="J473" s="52">
        <f t="shared" si="42"/>
        <v>0</v>
      </c>
      <c r="K473" s="52">
        <f t="shared" si="42"/>
        <v>0</v>
      </c>
      <c r="L473" s="39"/>
    </row>
    <row r="474" spans="1:12" ht="25.5">
      <c r="A474" s="39"/>
      <c r="B474" s="39"/>
      <c r="C474" s="39"/>
      <c r="D474" s="46" t="s">
        <v>425</v>
      </c>
      <c r="E474" s="41">
        <v>2021</v>
      </c>
      <c r="F474" s="99">
        <v>500000</v>
      </c>
      <c r="G474" s="54"/>
      <c r="H474" s="99">
        <v>500000</v>
      </c>
      <c r="I474" s="54"/>
      <c r="J474" s="54"/>
      <c r="K474" s="54"/>
      <c r="L474" s="41">
        <v>100</v>
      </c>
    </row>
    <row r="475" spans="1:12" ht="25.5">
      <c r="A475" s="39"/>
      <c r="B475" s="39"/>
      <c r="C475" s="39"/>
      <c r="D475" s="46" t="s">
        <v>426</v>
      </c>
      <c r="E475" s="41">
        <v>2021</v>
      </c>
      <c r="F475" s="99">
        <v>500000</v>
      </c>
      <c r="G475" s="54"/>
      <c r="H475" s="99">
        <v>500000</v>
      </c>
      <c r="I475" s="54"/>
      <c r="J475" s="54"/>
      <c r="K475" s="54"/>
      <c r="L475" s="41">
        <v>100</v>
      </c>
    </row>
    <row r="476" spans="1:12" ht="12.75">
      <c r="A476" s="39"/>
      <c r="B476" s="39"/>
      <c r="C476" s="39"/>
      <c r="D476" s="39"/>
      <c r="E476" s="41"/>
      <c r="F476" s="54"/>
      <c r="G476" s="54"/>
      <c r="H476" s="54"/>
      <c r="I476" s="54"/>
      <c r="J476" s="54"/>
      <c r="K476" s="54"/>
      <c r="L476" s="39"/>
    </row>
    <row r="477" spans="1:12" ht="19.5" customHeight="1">
      <c r="A477" s="39"/>
      <c r="B477" s="39"/>
      <c r="C477" s="75" t="s">
        <v>139</v>
      </c>
      <c r="D477" s="39"/>
      <c r="E477" s="41"/>
      <c r="F477" s="52">
        <f t="shared" ref="F477:K477" si="43">F478+F481</f>
        <v>0</v>
      </c>
      <c r="G477" s="52">
        <f t="shared" si="43"/>
        <v>287520</v>
      </c>
      <c r="H477" s="52">
        <f t="shared" si="43"/>
        <v>45000</v>
      </c>
      <c r="I477" s="52">
        <f t="shared" si="43"/>
        <v>20000</v>
      </c>
      <c r="J477" s="52">
        <f t="shared" si="43"/>
        <v>36000</v>
      </c>
      <c r="K477" s="52">
        <f t="shared" si="43"/>
        <v>40000</v>
      </c>
      <c r="L477" s="39"/>
    </row>
    <row r="478" spans="1:12" ht="42" customHeight="1">
      <c r="A478" s="33" t="s">
        <v>140</v>
      </c>
      <c r="B478" s="33" t="s">
        <v>33</v>
      </c>
      <c r="C478" s="55" t="s">
        <v>141</v>
      </c>
      <c r="D478" s="39"/>
      <c r="E478" s="41"/>
      <c r="F478" s="52">
        <f t="shared" ref="F478:K478" si="44">F479</f>
        <v>0</v>
      </c>
      <c r="G478" s="52">
        <f t="shared" si="44"/>
        <v>13320</v>
      </c>
      <c r="H478" s="52">
        <f t="shared" si="44"/>
        <v>45000</v>
      </c>
      <c r="I478" s="52">
        <f t="shared" si="44"/>
        <v>20000</v>
      </c>
      <c r="J478" s="52">
        <f t="shared" si="44"/>
        <v>36000</v>
      </c>
      <c r="K478" s="52">
        <f t="shared" si="44"/>
        <v>40000</v>
      </c>
      <c r="L478" s="39"/>
    </row>
    <row r="479" spans="1:12" ht="21" customHeight="1">
      <c r="A479" s="39"/>
      <c r="B479" s="39"/>
      <c r="C479" s="39"/>
      <c r="D479" s="40" t="s">
        <v>35</v>
      </c>
      <c r="E479" s="41"/>
      <c r="F479" s="42"/>
      <c r="G479" s="42">
        <v>13320</v>
      </c>
      <c r="H479" s="42">
        <v>45000</v>
      </c>
      <c r="I479" s="42">
        <v>20000</v>
      </c>
      <c r="J479" s="42">
        <v>36000</v>
      </c>
      <c r="K479" s="42">
        <v>40000</v>
      </c>
      <c r="L479" s="41">
        <v>100</v>
      </c>
    </row>
    <row r="480" spans="1:12" ht="12.75">
      <c r="A480" s="39"/>
      <c r="B480" s="39"/>
      <c r="C480" s="39"/>
      <c r="D480" s="39"/>
      <c r="E480" s="41"/>
      <c r="F480" s="42"/>
      <c r="G480" s="42"/>
      <c r="H480" s="42"/>
      <c r="I480" s="42"/>
      <c r="J480" s="42"/>
      <c r="K480" s="42"/>
      <c r="L480" s="41"/>
    </row>
    <row r="481" spans="1:24" ht="25.5">
      <c r="A481" s="33" t="s">
        <v>142</v>
      </c>
      <c r="B481" s="57">
        <v>9770</v>
      </c>
      <c r="C481" s="44" t="s">
        <v>143</v>
      </c>
      <c r="D481" s="39"/>
      <c r="E481" s="41"/>
      <c r="F481" s="52">
        <f t="shared" ref="F481:K481" si="45">F482</f>
        <v>0</v>
      </c>
      <c r="G481" s="52">
        <f t="shared" si="45"/>
        <v>274200</v>
      </c>
      <c r="H481" s="52">
        <f t="shared" si="45"/>
        <v>0</v>
      </c>
      <c r="I481" s="52">
        <f t="shared" si="45"/>
        <v>0</v>
      </c>
      <c r="J481" s="52">
        <f t="shared" si="45"/>
        <v>0</v>
      </c>
      <c r="K481" s="52">
        <f t="shared" si="45"/>
        <v>0</v>
      </c>
      <c r="L481" s="41"/>
    </row>
    <row r="482" spans="1:24" ht="25.5">
      <c r="A482" s="39"/>
      <c r="B482" s="39"/>
      <c r="C482" s="39"/>
      <c r="D482" s="55" t="s">
        <v>144</v>
      </c>
      <c r="E482" s="41">
        <v>2020</v>
      </c>
      <c r="F482" s="100">
        <f>SUM(F483:F484)</f>
        <v>0</v>
      </c>
      <c r="G482" s="100">
        <f>SUM(G483:G484)</f>
        <v>274200</v>
      </c>
      <c r="H482" s="42"/>
      <c r="I482" s="42"/>
      <c r="J482" s="42"/>
      <c r="K482" s="42"/>
      <c r="L482" s="41">
        <v>100</v>
      </c>
    </row>
    <row r="483" spans="1:24" ht="12.75">
      <c r="A483" s="39"/>
      <c r="B483" s="39"/>
      <c r="C483" s="39"/>
      <c r="D483" s="46" t="s">
        <v>145</v>
      </c>
      <c r="E483" s="41">
        <v>2020</v>
      </c>
      <c r="F483" s="50"/>
      <c r="G483" s="50">
        <f>233500-73100</f>
        <v>160400</v>
      </c>
      <c r="H483" s="42"/>
      <c r="I483" s="42"/>
      <c r="J483" s="42"/>
      <c r="K483" s="42"/>
      <c r="L483" s="41">
        <v>100</v>
      </c>
    </row>
    <row r="484" spans="1:24" ht="12.75">
      <c r="A484" s="39"/>
      <c r="B484" s="39"/>
      <c r="C484" s="39"/>
      <c r="D484" s="46" t="s">
        <v>146</v>
      </c>
      <c r="E484" s="41">
        <v>2020</v>
      </c>
      <c r="F484" s="50"/>
      <c r="G484" s="50">
        <f>124300-10500</f>
        <v>113800</v>
      </c>
      <c r="H484" s="42"/>
      <c r="I484" s="42"/>
      <c r="J484" s="42"/>
      <c r="K484" s="42"/>
      <c r="L484" s="41">
        <v>100</v>
      </c>
    </row>
    <row r="485" spans="1:24" ht="12.75">
      <c r="A485" s="39"/>
      <c r="B485" s="39"/>
      <c r="C485" s="39"/>
      <c r="D485" s="39"/>
      <c r="E485" s="41"/>
      <c r="F485" s="42"/>
      <c r="G485" s="42"/>
      <c r="H485" s="42"/>
      <c r="I485" s="42"/>
      <c r="J485" s="42"/>
      <c r="K485" s="42"/>
      <c r="L485" s="41"/>
    </row>
    <row r="486" spans="1:24" ht="29.25" customHeight="1">
      <c r="A486" s="101"/>
      <c r="B486" s="101"/>
      <c r="C486" s="101"/>
      <c r="D486" s="55" t="s">
        <v>166</v>
      </c>
      <c r="E486" s="74"/>
      <c r="F486" s="52">
        <f t="shared" ref="F486:K486" si="46">F16+F153+F218+F234+F255+F263+F477</f>
        <v>914458083.39435387</v>
      </c>
      <c r="G486" s="52">
        <f t="shared" si="46"/>
        <v>24477967.830000006</v>
      </c>
      <c r="H486" s="52">
        <f t="shared" si="46"/>
        <v>88045205</v>
      </c>
      <c r="I486" s="52">
        <f t="shared" si="46"/>
        <v>47028171</v>
      </c>
      <c r="J486" s="52">
        <f t="shared" si="46"/>
        <v>103217111</v>
      </c>
      <c r="K486" s="52">
        <f t="shared" si="46"/>
        <v>126481583</v>
      </c>
      <c r="L486" s="101"/>
    </row>
    <row r="487" spans="1:24">
      <c r="O487" s="4"/>
      <c r="P487" s="4"/>
      <c r="Q487" s="4"/>
      <c r="R487" s="4"/>
      <c r="S487" s="4"/>
      <c r="T487" s="4"/>
      <c r="U487" s="4"/>
      <c r="V487" s="4"/>
      <c r="W487" s="4"/>
      <c r="X487" s="4"/>
    </row>
    <row r="488" spans="1:24"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</row>
    <row r="489" spans="1:24">
      <c r="A489" s="109" t="s">
        <v>73</v>
      </c>
      <c r="B489" s="109"/>
      <c r="C489" s="109"/>
      <c r="D489" s="109"/>
      <c r="E489" s="109"/>
      <c r="F489" s="109"/>
      <c r="G489" s="109"/>
      <c r="H489" s="109"/>
      <c r="I489" s="109"/>
      <c r="J489" s="109"/>
      <c r="K489" s="109"/>
      <c r="L489" s="109"/>
      <c r="N489" s="12"/>
      <c r="O489" s="16"/>
      <c r="P489" s="17"/>
      <c r="Q489" s="17"/>
      <c r="R489" s="17"/>
      <c r="S489" s="17"/>
      <c r="T489" s="17"/>
      <c r="U489" s="17"/>
      <c r="V489" s="17"/>
      <c r="W489" s="4"/>
      <c r="X489" s="4"/>
    </row>
    <row r="490" spans="1:24">
      <c r="N490" s="12"/>
      <c r="O490" s="16"/>
      <c r="P490" s="18"/>
      <c r="Q490" s="18"/>
      <c r="R490" s="18"/>
      <c r="S490" s="18"/>
      <c r="T490" s="18"/>
      <c r="U490" s="18"/>
      <c r="V490" s="18"/>
      <c r="W490" s="4"/>
      <c r="X490" s="4"/>
    </row>
    <row r="491" spans="1:24">
      <c r="O491" s="4"/>
      <c r="P491" s="19"/>
      <c r="Q491" s="19"/>
      <c r="R491" s="19"/>
      <c r="S491" s="19"/>
      <c r="T491" s="19"/>
      <c r="U491" s="19"/>
      <c r="V491" s="19"/>
      <c r="W491" s="4"/>
      <c r="X491" s="4"/>
    </row>
    <row r="492" spans="1:24" hidden="1">
      <c r="O492" s="4"/>
      <c r="P492" s="4"/>
      <c r="Q492" s="4"/>
      <c r="R492" s="4"/>
      <c r="S492" s="4"/>
      <c r="T492" s="4"/>
      <c r="U492" s="4"/>
      <c r="V492" s="4"/>
      <c r="W492" s="4"/>
      <c r="X492" s="4"/>
    </row>
    <row r="493" spans="1:24" hidden="1">
      <c r="E493" s="11"/>
      <c r="F493" s="13"/>
      <c r="G493" s="13"/>
      <c r="H493" s="13"/>
      <c r="I493" s="13"/>
      <c r="J493" s="13"/>
      <c r="K493" s="13"/>
      <c r="O493" s="4"/>
      <c r="P493" s="4"/>
      <c r="Q493" s="4"/>
      <c r="R493" s="4"/>
      <c r="S493" s="4"/>
      <c r="T493" s="4"/>
      <c r="U493" s="4"/>
      <c r="V493" s="4"/>
      <c r="W493" s="4"/>
      <c r="X493" s="4"/>
    </row>
    <row r="494" spans="1:24" hidden="1">
      <c r="E494" s="11">
        <v>3110</v>
      </c>
      <c r="F494" s="13">
        <f t="shared" ref="F494:K494" si="47">F18+F19+F21+F23+F59+F61+F155+F158+F181+F182+F183+F184+F212+F220+F227+F228+F229+F236+F239+F240+F245+F248+F249+F250+F265+F266+F479</f>
        <v>3800000</v>
      </c>
      <c r="G494" s="13">
        <f t="shared" si="47"/>
        <v>3370209.9</v>
      </c>
      <c r="H494" s="13">
        <f t="shared" si="47"/>
        <v>1490000</v>
      </c>
      <c r="I494" s="13">
        <f t="shared" si="47"/>
        <v>3130315</v>
      </c>
      <c r="J494" s="13">
        <f t="shared" si="47"/>
        <v>5198315</v>
      </c>
      <c r="K494" s="13">
        <f t="shared" si="47"/>
        <v>4465315</v>
      </c>
      <c r="O494" s="4"/>
      <c r="P494" s="20"/>
      <c r="Q494" s="20"/>
      <c r="R494" s="20"/>
      <c r="S494" s="20"/>
      <c r="T494" s="20"/>
      <c r="U494" s="20"/>
      <c r="V494" s="4"/>
      <c r="W494" s="4"/>
      <c r="X494" s="4"/>
    </row>
    <row r="495" spans="1:24" ht="31.5" hidden="1">
      <c r="E495" s="15" t="s">
        <v>446</v>
      </c>
      <c r="F495" s="13">
        <f t="shared" ref="F495:K495" si="48">F25+F27+F28+F29+F30+F31+F32+F33+F34+F35+F36+F37+F38+F39+F40+F41+F42+F43+F44+F45+F47+F48+F51+F64+F105+F108+F121+F127+F136+F150+F160+F161+F162+F163+F164+F165+F166+F167+F168+F169+F170+F171+F172+F173+F174+F175+F176+F177+F178+F186+F187+F188+F189+F190+F191+F192+F193+F194+F195+F196+F197+F198+F199+F200+F201+F202+F203+F204+F205+F206+F207+F208+F209+F214+F215+F221+F222+F223+F230+F231+F232+F241+F242+F252+F253+F257+F267+F269+F451+F454+F473</f>
        <v>902900784.39435387</v>
      </c>
      <c r="G495" s="13">
        <f t="shared" si="48"/>
        <v>19997258.930000003</v>
      </c>
      <c r="H495" s="13">
        <f t="shared" si="48"/>
        <v>84884205</v>
      </c>
      <c r="I495" s="13">
        <f t="shared" si="48"/>
        <v>43097856</v>
      </c>
      <c r="J495" s="13">
        <f t="shared" si="48"/>
        <v>97218796</v>
      </c>
      <c r="K495" s="13">
        <f t="shared" si="48"/>
        <v>121616268</v>
      </c>
      <c r="O495" s="4"/>
      <c r="P495" s="20"/>
      <c r="Q495" s="20"/>
      <c r="R495" s="20"/>
      <c r="S495" s="20"/>
      <c r="T495" s="20"/>
      <c r="U495" s="20"/>
      <c r="V495" s="4"/>
      <c r="W495" s="4"/>
      <c r="X495" s="4"/>
    </row>
    <row r="496" spans="1:24" hidden="1">
      <c r="E496" s="11">
        <v>7350</v>
      </c>
      <c r="F496" s="13">
        <f t="shared" ref="F496:K496" si="49">F143</f>
        <v>5699000</v>
      </c>
      <c r="G496" s="13">
        <f t="shared" si="49"/>
        <v>49000</v>
      </c>
      <c r="H496" s="13">
        <f t="shared" si="49"/>
        <v>400000</v>
      </c>
      <c r="I496" s="13">
        <f t="shared" si="49"/>
        <v>800000</v>
      </c>
      <c r="J496" s="13">
        <f t="shared" si="49"/>
        <v>800000</v>
      </c>
      <c r="K496" s="13">
        <f t="shared" si="49"/>
        <v>400000</v>
      </c>
      <c r="O496" s="4"/>
      <c r="P496" s="20"/>
      <c r="Q496" s="20"/>
      <c r="R496" s="20"/>
      <c r="S496" s="20"/>
      <c r="T496" s="20"/>
      <c r="U496" s="20"/>
      <c r="V496" s="4"/>
      <c r="W496" s="4"/>
      <c r="X496" s="4"/>
    </row>
    <row r="497" spans="5:24" hidden="1">
      <c r="E497" s="11">
        <v>7670</v>
      </c>
      <c r="F497" s="13">
        <f t="shared" ref="F497:K497" si="50">F468</f>
        <v>2058299</v>
      </c>
      <c r="G497" s="13">
        <f t="shared" si="50"/>
        <v>787299</v>
      </c>
      <c r="H497" s="13">
        <f t="shared" si="50"/>
        <v>1271000</v>
      </c>
      <c r="I497" s="13">
        <f t="shared" si="50"/>
        <v>0</v>
      </c>
      <c r="J497" s="13">
        <f t="shared" si="50"/>
        <v>0</v>
      </c>
      <c r="K497" s="13">
        <f t="shared" si="50"/>
        <v>0</v>
      </c>
      <c r="O497" s="4"/>
      <c r="P497" s="20"/>
      <c r="Q497" s="20"/>
      <c r="R497" s="20"/>
      <c r="S497" s="20"/>
      <c r="T497" s="20"/>
      <c r="U497" s="20"/>
      <c r="V497" s="4"/>
      <c r="W497" s="4"/>
      <c r="X497" s="4"/>
    </row>
    <row r="498" spans="5:24" hidden="1">
      <c r="E498" s="11">
        <v>9770</v>
      </c>
      <c r="F498" s="13">
        <f t="shared" ref="F498:K498" si="51">F481</f>
        <v>0</v>
      </c>
      <c r="G498" s="13">
        <f t="shared" si="51"/>
        <v>274200</v>
      </c>
      <c r="H498" s="13">
        <f t="shared" si="51"/>
        <v>0</v>
      </c>
      <c r="I498" s="13">
        <f t="shared" si="51"/>
        <v>0</v>
      </c>
      <c r="J498" s="13">
        <f t="shared" si="51"/>
        <v>0</v>
      </c>
      <c r="K498" s="13">
        <f t="shared" si="51"/>
        <v>0</v>
      </c>
      <c r="O498" s="4"/>
      <c r="P498" s="20"/>
      <c r="Q498" s="20"/>
      <c r="R498" s="20"/>
      <c r="S498" s="20"/>
      <c r="T498" s="20"/>
      <c r="U498" s="20"/>
      <c r="V498" s="4"/>
      <c r="W498" s="4"/>
      <c r="X498" s="4"/>
    </row>
    <row r="499" spans="5:24" hidden="1">
      <c r="E499" s="11" t="s">
        <v>445</v>
      </c>
      <c r="F499" s="13">
        <f t="shared" ref="F499:K499" si="52">SUM(F494:F498)</f>
        <v>914458083.39435387</v>
      </c>
      <c r="G499" s="13">
        <f t="shared" si="52"/>
        <v>24477967.830000002</v>
      </c>
      <c r="H499" s="13">
        <f t="shared" si="52"/>
        <v>88045205</v>
      </c>
      <c r="I499" s="13">
        <f t="shared" si="52"/>
        <v>47028171</v>
      </c>
      <c r="J499" s="13">
        <f t="shared" si="52"/>
        <v>103217111</v>
      </c>
      <c r="K499" s="13">
        <f t="shared" si="52"/>
        <v>126481583</v>
      </c>
      <c r="O499" s="4"/>
      <c r="P499" s="20"/>
      <c r="Q499" s="21"/>
      <c r="R499" s="21"/>
      <c r="S499" s="20"/>
      <c r="T499" s="20"/>
      <c r="U499" s="20"/>
      <c r="V499" s="4"/>
      <c r="W499" s="4"/>
      <c r="X499" s="4"/>
    </row>
    <row r="500" spans="5:24" hidden="1">
      <c r="O500" s="4"/>
      <c r="P500" s="4"/>
      <c r="Q500" s="4"/>
      <c r="R500" s="4"/>
      <c r="S500" s="4"/>
      <c r="T500" s="4"/>
      <c r="U500" s="4"/>
      <c r="V500" s="4"/>
      <c r="W500" s="4"/>
      <c r="X500" s="4"/>
    </row>
    <row r="501" spans="5:24" hidden="1">
      <c r="F501" s="14">
        <f t="shared" ref="F501:K501" si="53">F486-F499</f>
        <v>0</v>
      </c>
      <c r="G501" s="14">
        <f t="shared" si="53"/>
        <v>0</v>
      </c>
      <c r="H501" s="14">
        <f t="shared" si="53"/>
        <v>0</v>
      </c>
      <c r="I501" s="14">
        <f t="shared" si="53"/>
        <v>0</v>
      </c>
      <c r="J501" s="14">
        <f t="shared" si="53"/>
        <v>0</v>
      </c>
      <c r="K501" s="14">
        <f t="shared" si="53"/>
        <v>0</v>
      </c>
      <c r="O501" s="4"/>
      <c r="P501" s="4"/>
      <c r="Q501" s="4"/>
      <c r="R501" s="4"/>
      <c r="S501" s="4"/>
      <c r="T501" s="4"/>
      <c r="U501" s="4"/>
      <c r="V501" s="4"/>
      <c r="W501" s="4"/>
      <c r="X501" s="4"/>
    </row>
    <row r="502" spans="5:24" hidden="1"/>
  </sheetData>
  <mergeCells count="15">
    <mergeCell ref="A489:L489"/>
    <mergeCell ref="I12:I13"/>
    <mergeCell ref="J12:J13"/>
    <mergeCell ref="K12:K13"/>
    <mergeCell ref="L12:L13"/>
    <mergeCell ref="F12:F13"/>
    <mergeCell ref="A12:A13"/>
    <mergeCell ref="E12:E13"/>
    <mergeCell ref="G12:G13"/>
    <mergeCell ref="H12:H13"/>
    <mergeCell ref="J4:L4"/>
    <mergeCell ref="A7:L7"/>
    <mergeCell ref="B12:B13"/>
    <mergeCell ref="C12:C13"/>
    <mergeCell ref="D12:D13"/>
  </mergeCells>
  <phoneticPr fontId="7" type="noConversion"/>
  <pageMargins left="0.31" right="0.25" top="0.24" bottom="0.15" header="0.22" footer="0.18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 10 по КЕКВ</vt:lpstr>
      <vt:lpstr>'дод 10 по КЕКВ'!Область_печати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2021-08-03T10:34:48Z</cp:lastPrinted>
  <dcterms:created xsi:type="dcterms:W3CDTF">2021-06-16T05:43:42Z</dcterms:created>
  <dcterms:modified xsi:type="dcterms:W3CDTF">2021-08-18T13:56:16Z</dcterms:modified>
</cp:coreProperties>
</file>