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 activeTab="2"/>
  </bookViews>
  <sheets>
    <sheet name="Лист1" sheetId="1" r:id="rId1"/>
    <sheet name="Лист2" sheetId="2" r:id="rId2"/>
    <sheet name="житло" sheetId="3" r:id="rId3"/>
    <sheet name="благоустрій" sheetId="4" r:id="rId4"/>
    <sheet name="нежитло" sheetId="5" r:id="rId5"/>
    <sheet name="каналіз" sheetId="6" r:id="rId6"/>
    <sheet name="108" sheetId="7" r:id="rId7"/>
  </sheets>
  <definedNames>
    <definedName name="_xlnm.Print_Titles" localSheetId="2">житло!$10:$11</definedName>
  </definedNames>
  <calcPr calcId="145621"/>
</workbook>
</file>

<file path=xl/calcChain.xml><?xml version="1.0" encoding="utf-8"?>
<calcChain xmlns="http://schemas.openxmlformats.org/spreadsheetml/2006/main">
  <c r="R231" i="3" l="1"/>
  <c r="V233" i="3"/>
  <c r="R45" i="3"/>
  <c r="T45" i="3"/>
  <c r="V46" i="3"/>
  <c r="V45" i="3" s="1"/>
  <c r="T235" i="3"/>
  <c r="F45" i="3"/>
  <c r="X682" i="3"/>
  <c r="AB682" i="3" s="1"/>
  <c r="Y682" i="3"/>
  <c r="AA682" i="3" s="1"/>
  <c r="F609" i="3"/>
  <c r="Y714" i="3"/>
  <c r="AA714" i="3" s="1"/>
  <c r="Y711" i="3"/>
  <c r="AA711" i="3" s="1"/>
  <c r="Y690" i="3"/>
  <c r="AA690" i="3" s="1"/>
  <c r="Y677" i="3"/>
  <c r="AA677" i="3" s="1"/>
  <c r="Y673" i="3"/>
  <c r="AA673" i="3" s="1"/>
  <c r="Z662" i="3"/>
  <c r="X656" i="3"/>
  <c r="Z653" i="3"/>
  <c r="X638" i="3"/>
  <c r="Y635" i="3"/>
  <c r="AA635" i="3" s="1"/>
  <c r="Y629" i="3"/>
  <c r="AA629" i="3" s="1"/>
  <c r="Z626" i="3"/>
  <c r="Y618" i="3"/>
  <c r="AA618" i="3" s="1"/>
  <c r="Y614" i="3"/>
  <c r="AA614" i="3" s="1"/>
  <c r="Y599" i="3"/>
  <c r="AA599" i="3" s="1"/>
  <c r="Y572" i="3"/>
  <c r="AA572" i="3" s="1"/>
  <c r="Y556" i="3"/>
  <c r="AA556" i="3" s="1"/>
  <c r="Z542" i="3"/>
  <c r="Y530" i="3"/>
  <c r="AA530" i="3" s="1"/>
  <c r="Y529" i="3"/>
  <c r="AA529" i="3" s="1"/>
  <c r="X522" i="3"/>
  <c r="Y518" i="3"/>
  <c r="AA518" i="3" s="1"/>
  <c r="Z517" i="3"/>
  <c r="Y509" i="3"/>
  <c r="AA509" i="3" s="1"/>
  <c r="Z505" i="3"/>
  <c r="Z501" i="3"/>
  <c r="Y495" i="3"/>
  <c r="AA495" i="3" s="1"/>
  <c r="Z490" i="3"/>
  <c r="Y487" i="3"/>
  <c r="AA487" i="3" s="1"/>
  <c r="Y483" i="3"/>
  <c r="AA483" i="3" s="1"/>
  <c r="Y482" i="3"/>
  <c r="AA482" i="3" s="1"/>
  <c r="Y478" i="3"/>
  <c r="AA478" i="3" s="1"/>
  <c r="Y467" i="3"/>
  <c r="AA467" i="3" s="1"/>
  <c r="Z466" i="3"/>
  <c r="Y457" i="3"/>
  <c r="AA457" i="3" s="1"/>
  <c r="Y453" i="3"/>
  <c r="AA453" i="3" s="1"/>
  <c r="X451" i="3"/>
  <c r="Z446" i="3"/>
  <c r="Y438" i="3"/>
  <c r="AA438" i="3" s="1"/>
  <c r="Y434" i="3"/>
  <c r="AA434" i="3" s="1"/>
  <c r="X431" i="3"/>
  <c r="Y426" i="3"/>
  <c r="AA426" i="3" s="1"/>
  <c r="X422" i="3"/>
  <c r="U419" i="3"/>
  <c r="Y419" i="3" s="1"/>
  <c r="AA419" i="3" s="1"/>
  <c r="U418" i="3"/>
  <c r="U417" i="3"/>
  <c r="Y417" i="3" s="1"/>
  <c r="AA417" i="3" s="1"/>
  <c r="U416" i="3"/>
  <c r="Y416" i="3" s="1"/>
  <c r="AA416" i="3" s="1"/>
  <c r="Y403" i="3"/>
  <c r="AA403" i="3" s="1"/>
  <c r="X385" i="3"/>
  <c r="Y383" i="3"/>
  <c r="AA383" i="3" s="1"/>
  <c r="X377" i="3"/>
  <c r="Y376" i="3"/>
  <c r="AA376" i="3" s="1"/>
  <c r="Y372" i="3"/>
  <c r="AA372" i="3" s="1"/>
  <c r="Y335" i="3"/>
  <c r="AA335" i="3" s="1"/>
  <c r="Y330" i="3"/>
  <c r="AA330" i="3" s="1"/>
  <c r="Y328" i="3"/>
  <c r="AA328" i="3" s="1"/>
  <c r="Y314" i="3"/>
  <c r="AA314" i="3" s="1"/>
  <c r="Z309" i="3"/>
  <c r="Z306" i="3"/>
  <c r="Y304" i="3"/>
  <c r="AA304" i="3" s="1"/>
  <c r="Z296" i="3"/>
  <c r="Y293" i="3"/>
  <c r="AA293" i="3" s="1"/>
  <c r="Y275" i="3"/>
  <c r="AA275" i="3" s="1"/>
  <c r="Y254" i="3"/>
  <c r="AA254" i="3" s="1"/>
  <c r="Y243" i="3"/>
  <c r="AA243" i="3" s="1"/>
  <c r="Z241" i="3"/>
  <c r="U238" i="3"/>
  <c r="Y238" i="3" s="1"/>
  <c r="AA238" i="3" s="1"/>
  <c r="U237" i="3"/>
  <c r="U236" i="3"/>
  <c r="Y236" i="3" s="1"/>
  <c r="AA236" i="3" s="1"/>
  <c r="Y235" i="3"/>
  <c r="AA235" i="3" s="1"/>
  <c r="U233" i="3"/>
  <c r="Y233" i="3" s="1"/>
  <c r="AA233" i="3" s="1"/>
  <c r="U232" i="3"/>
  <c r="Y232" i="3" s="1"/>
  <c r="AA232" i="3" s="1"/>
  <c r="U229" i="3"/>
  <c r="Y229" i="3" s="1"/>
  <c r="AA229" i="3" s="1"/>
  <c r="U228" i="3"/>
  <c r="Y228" i="3" s="1"/>
  <c r="AA228" i="3" s="1"/>
  <c r="U227" i="3"/>
  <c r="Y227" i="3" s="1"/>
  <c r="AA227" i="3" s="1"/>
  <c r="X221" i="3"/>
  <c r="Y218" i="3"/>
  <c r="AA218" i="3" s="1"/>
  <c r="U217" i="3"/>
  <c r="U216" i="3"/>
  <c r="Y216" i="3" s="1"/>
  <c r="AA216" i="3" s="1"/>
  <c r="U215" i="3"/>
  <c r="U214" i="3"/>
  <c r="U213" i="3"/>
  <c r="X211" i="3"/>
  <c r="Y203" i="3"/>
  <c r="AA203" i="3" s="1"/>
  <c r="Y197" i="3"/>
  <c r="AA197" i="3" s="1"/>
  <c r="Y194" i="3"/>
  <c r="AA194" i="3" s="1"/>
  <c r="Y191" i="3"/>
  <c r="AA191" i="3" s="1"/>
  <c r="Y189" i="3"/>
  <c r="AA189" i="3" s="1"/>
  <c r="Z179" i="3"/>
  <c r="Y177" i="3"/>
  <c r="AA177" i="3" s="1"/>
  <c r="X175" i="3"/>
  <c r="Y171" i="3"/>
  <c r="AA171" i="3" s="1"/>
  <c r="U169" i="3"/>
  <c r="Y169" i="3" s="1"/>
  <c r="AA169" i="3" s="1"/>
  <c r="U168" i="3"/>
  <c r="Y168" i="3" s="1"/>
  <c r="AA168" i="3" s="1"/>
  <c r="X167" i="3"/>
  <c r="Y163" i="3"/>
  <c r="AA163" i="3" s="1"/>
  <c r="Y154" i="3"/>
  <c r="AA154" i="3" s="1"/>
  <c r="U148" i="3"/>
  <c r="Z148" i="3" s="1"/>
  <c r="Z142" i="3"/>
  <c r="Z139" i="3"/>
  <c r="X128" i="3"/>
  <c r="Z127" i="3"/>
  <c r="Z118" i="3"/>
  <c r="Z103" i="3"/>
  <c r="Z100" i="3"/>
  <c r="Z79" i="3"/>
  <c r="Z76" i="3"/>
  <c r="Z67" i="3"/>
  <c r="Y59" i="3"/>
  <c r="AA59" i="3" s="1"/>
  <c r="X58" i="3"/>
  <c r="Z55" i="3"/>
  <c r="X52" i="3"/>
  <c r="Z49" i="3"/>
  <c r="Z47" i="3"/>
  <c r="Y44" i="3"/>
  <c r="AA44" i="3" s="1"/>
  <c r="U40" i="3"/>
  <c r="U39" i="3"/>
  <c r="X36" i="3"/>
  <c r="X27" i="3"/>
  <c r="S53" i="3"/>
  <c r="S177" i="3"/>
  <c r="S178" i="3"/>
  <c r="S176" i="3"/>
  <c r="S329" i="3"/>
  <c r="S330" i="3"/>
  <c r="S331" i="3"/>
  <c r="S332" i="3"/>
  <c r="S333" i="3"/>
  <c r="S334" i="3"/>
  <c r="S335" i="3"/>
  <c r="S698" i="3"/>
  <c r="S699" i="3"/>
  <c r="X699" i="3" s="1"/>
  <c r="S700" i="3"/>
  <c r="X700" i="3" s="1"/>
  <c r="S701" i="3"/>
  <c r="S702" i="3"/>
  <c r="S705" i="3"/>
  <c r="X705" i="3" s="1"/>
  <c r="S706" i="3"/>
  <c r="S707" i="3"/>
  <c r="X707" i="3" s="1"/>
  <c r="S708" i="3"/>
  <c r="X708" i="3" s="1"/>
  <c r="S709" i="3"/>
  <c r="S710" i="3"/>
  <c r="S711" i="3"/>
  <c r="X711" i="3" s="1"/>
  <c r="S712" i="3"/>
  <c r="S697" i="3"/>
  <c r="X697" i="3" s="1"/>
  <c r="S688" i="3"/>
  <c r="X688" i="3" s="1"/>
  <c r="S690" i="3"/>
  <c r="S691" i="3"/>
  <c r="S692" i="3"/>
  <c r="S693" i="3"/>
  <c r="X693" i="3" s="1"/>
  <c r="X687" i="3"/>
  <c r="S673" i="3"/>
  <c r="S674" i="3"/>
  <c r="S675" i="3"/>
  <c r="S676" i="3"/>
  <c r="S677" i="3"/>
  <c r="S678" i="3"/>
  <c r="S672" i="3"/>
  <c r="S619" i="3"/>
  <c r="S620" i="3"/>
  <c r="S618" i="3"/>
  <c r="S613" i="3"/>
  <c r="S614" i="3"/>
  <c r="S615" i="3"/>
  <c r="S612" i="3"/>
  <c r="S606" i="3"/>
  <c r="S607" i="3"/>
  <c r="S605" i="3"/>
  <c r="S579" i="3"/>
  <c r="S580" i="3"/>
  <c r="S578" i="3"/>
  <c r="S572" i="3"/>
  <c r="S573" i="3"/>
  <c r="S574" i="3"/>
  <c r="S571" i="3"/>
  <c r="S530" i="3"/>
  <c r="S531" i="3"/>
  <c r="S529" i="3"/>
  <c r="S524" i="3"/>
  <c r="S525" i="3"/>
  <c r="S523" i="3"/>
  <c r="S509" i="3"/>
  <c r="S510" i="3"/>
  <c r="S511" i="3"/>
  <c r="S508" i="3"/>
  <c r="S503" i="3"/>
  <c r="S504" i="3"/>
  <c r="S502" i="3"/>
  <c r="S497" i="3"/>
  <c r="S498" i="3"/>
  <c r="S496" i="3"/>
  <c r="S488" i="3"/>
  <c r="S489" i="3"/>
  <c r="S487" i="3"/>
  <c r="S479" i="3"/>
  <c r="S480" i="3"/>
  <c r="S481" i="3"/>
  <c r="S482" i="3"/>
  <c r="S483" i="3"/>
  <c r="S478" i="3"/>
  <c r="S442" i="3"/>
  <c r="S443" i="3"/>
  <c r="S444" i="3"/>
  <c r="S445" i="3"/>
  <c r="S441" i="3"/>
  <c r="S435" i="3"/>
  <c r="S436" i="3"/>
  <c r="S437" i="3"/>
  <c r="S434" i="3"/>
  <c r="S427" i="3"/>
  <c r="S428" i="3"/>
  <c r="S429" i="3"/>
  <c r="S430" i="3"/>
  <c r="S426" i="3"/>
  <c r="S419" i="3"/>
  <c r="S417" i="3"/>
  <c r="S418" i="3"/>
  <c r="S416" i="3"/>
  <c r="S373" i="3"/>
  <c r="S374" i="3"/>
  <c r="S375" i="3"/>
  <c r="S376" i="3"/>
  <c r="S372" i="3"/>
  <c r="S355" i="3"/>
  <c r="S356" i="3"/>
  <c r="S357" i="3"/>
  <c r="S354" i="3"/>
  <c r="S347" i="3"/>
  <c r="S348" i="3"/>
  <c r="S349" i="3"/>
  <c r="S346" i="3"/>
  <c r="S328" i="3"/>
  <c r="S250" i="3"/>
  <c r="S249" i="3"/>
  <c r="S245" i="3"/>
  <c r="S236" i="3"/>
  <c r="S237" i="3"/>
  <c r="S233" i="3"/>
  <c r="S231" i="3" s="1"/>
  <c r="S228" i="3"/>
  <c r="S229" i="3"/>
  <c r="S227" i="3"/>
  <c r="S215" i="3"/>
  <c r="S216" i="3"/>
  <c r="S217" i="3"/>
  <c r="S214" i="3"/>
  <c r="S195" i="3"/>
  <c r="S196" i="3"/>
  <c r="S197" i="3"/>
  <c r="S198" i="3"/>
  <c r="S199" i="3"/>
  <c r="S200" i="3"/>
  <c r="S194" i="3"/>
  <c r="S189" i="3"/>
  <c r="S190" i="3"/>
  <c r="S188" i="3"/>
  <c r="S154" i="3"/>
  <c r="S155" i="3"/>
  <c r="S156" i="3"/>
  <c r="S157" i="3"/>
  <c r="S158" i="3"/>
  <c r="S159" i="3"/>
  <c r="S160" i="3"/>
  <c r="S153" i="3"/>
  <c r="S244" i="3"/>
  <c r="Q99" i="2"/>
  <c r="Q101" i="2" s="1"/>
  <c r="R98" i="2"/>
  <c r="S98" i="2"/>
  <c r="T98" i="2"/>
  <c r="Q98" i="2"/>
  <c r="Q105" i="2"/>
  <c r="Q106" i="2" s="1"/>
  <c r="R105" i="2"/>
  <c r="S105" i="2"/>
  <c r="T105" i="2"/>
  <c r="R103" i="2"/>
  <c r="S103" i="2"/>
  <c r="Q103" i="2"/>
  <c r="Y15" i="4"/>
  <c r="X14" i="4"/>
  <c r="W14" i="4"/>
  <c r="Y14" i="4" s="1"/>
  <c r="Q96" i="3"/>
  <c r="Q98" i="3" s="1"/>
  <c r="Z13" i="3"/>
  <c r="Z14" i="3"/>
  <c r="Z17" i="3"/>
  <c r="Z22" i="3"/>
  <c r="Z25" i="3"/>
  <c r="Z30" i="3"/>
  <c r="Z33" i="3"/>
  <c r="Z34" i="3"/>
  <c r="Z37" i="3"/>
  <c r="Z41" i="3"/>
  <c r="Z43" i="3"/>
  <c r="Z46" i="3"/>
  <c r="Z50" i="3"/>
  <c r="Z53" i="3"/>
  <c r="Z58" i="3"/>
  <c r="Z61" i="3"/>
  <c r="Z64" i="3"/>
  <c r="Z68" i="3"/>
  <c r="Z70" i="3"/>
  <c r="Z74" i="3"/>
  <c r="Z77" i="3"/>
  <c r="Z82" i="3"/>
  <c r="Z86" i="3"/>
  <c r="Z88" i="3"/>
  <c r="Z92" i="3"/>
  <c r="Z94" i="3"/>
  <c r="Z98" i="3"/>
  <c r="Z101" i="3"/>
  <c r="Z104" i="3"/>
  <c r="Z106" i="3"/>
  <c r="Z109" i="3"/>
  <c r="Z110" i="3"/>
  <c r="Z113" i="3"/>
  <c r="Z115" i="3"/>
  <c r="Z124" i="3"/>
  <c r="Z125" i="3"/>
  <c r="Z128" i="3"/>
  <c r="Z130" i="3"/>
  <c r="Z134" i="3"/>
  <c r="Z136" i="3"/>
  <c r="Z140" i="3"/>
  <c r="Z146" i="3"/>
  <c r="Z152" i="3"/>
  <c r="Z165" i="3"/>
  <c r="Z173" i="3"/>
  <c r="Z175" i="3"/>
  <c r="Z182" i="3"/>
  <c r="Z187" i="3"/>
  <c r="Z203" i="3"/>
  <c r="Z204" i="3"/>
  <c r="Z209" i="3"/>
  <c r="Z224" i="3"/>
  <c r="Z226" i="3"/>
  <c r="Z248" i="3"/>
  <c r="Z251" i="3"/>
  <c r="Z253" i="3"/>
  <c r="Z256" i="3"/>
  <c r="Z258" i="3"/>
  <c r="Z261" i="3"/>
  <c r="Z264" i="3"/>
  <c r="Z270" i="3"/>
  <c r="Z271" i="3"/>
  <c r="Z273" i="3"/>
  <c r="Z278" i="3"/>
  <c r="Z280" i="3"/>
  <c r="Z282" i="3"/>
  <c r="Z286" i="3"/>
  <c r="Z288" i="3"/>
  <c r="Z289" i="3"/>
  <c r="Z291" i="3"/>
  <c r="Z294" i="3"/>
  <c r="Z299" i="3"/>
  <c r="Z301" i="3"/>
  <c r="Z308" i="3"/>
  <c r="Z311" i="3"/>
  <c r="Z313" i="3"/>
  <c r="Z316" i="3"/>
  <c r="Z317" i="3"/>
  <c r="Z319" i="3"/>
  <c r="Z321" i="3"/>
  <c r="Z322" i="3"/>
  <c r="Z324" i="3"/>
  <c r="Z325" i="3"/>
  <c r="Z327" i="3"/>
  <c r="Z339" i="3"/>
  <c r="Z340" i="3"/>
  <c r="Z342" i="3"/>
  <c r="Z343" i="3"/>
  <c r="Z345" i="3"/>
  <c r="Z353" i="3"/>
  <c r="Z358" i="3"/>
  <c r="Z363" i="3"/>
  <c r="Z365" i="3"/>
  <c r="Z366" i="3"/>
  <c r="Z371" i="3"/>
  <c r="Z377" i="3"/>
  <c r="Z385" i="3"/>
  <c r="Z393" i="3"/>
  <c r="Z396" i="3"/>
  <c r="Z401" i="3"/>
  <c r="Z404" i="3"/>
  <c r="Z406" i="3"/>
  <c r="Z409" i="3"/>
  <c r="Z410" i="3"/>
  <c r="Z413" i="3"/>
  <c r="Z420" i="3"/>
  <c r="Z431" i="3"/>
  <c r="Z433" i="3"/>
  <c r="Z440" i="3"/>
  <c r="Z458" i="3"/>
  <c r="Z460" i="3"/>
  <c r="Z463" i="3"/>
  <c r="Z464" i="3"/>
  <c r="Z469" i="3"/>
  <c r="Z477" i="3"/>
  <c r="Z484" i="3"/>
  <c r="Z486" i="3"/>
  <c r="Z492" i="3"/>
  <c r="Z493" i="3"/>
  <c r="Z495" i="3"/>
  <c r="Z499" i="3"/>
  <c r="Z507" i="3"/>
  <c r="Z512" i="3"/>
  <c r="Z514" i="3"/>
  <c r="Z515" i="3"/>
  <c r="Z520" i="3"/>
  <c r="Z528" i="3"/>
  <c r="Z532" i="3"/>
  <c r="Z534" i="3"/>
  <c r="Z537" i="3"/>
  <c r="Z541" i="3"/>
  <c r="Z545" i="3"/>
  <c r="Z547" i="3"/>
  <c r="Z551" i="3"/>
  <c r="Z553" i="3"/>
  <c r="Z560" i="3"/>
  <c r="Z565" i="3"/>
  <c r="Z567" i="3"/>
  <c r="Z570" i="3"/>
  <c r="Z575" i="3"/>
  <c r="Z577" i="3"/>
  <c r="Z581" i="3"/>
  <c r="Z586" i="3"/>
  <c r="Z588" i="3"/>
  <c r="Z601" i="3"/>
  <c r="Z602" i="3"/>
  <c r="Z617" i="3"/>
  <c r="Z621" i="3"/>
  <c r="Z628" i="3"/>
  <c r="Z631" i="3"/>
  <c r="Z633" i="3"/>
  <c r="Z636" i="3"/>
  <c r="Z642" i="3"/>
  <c r="Z645" i="3"/>
  <c r="Z646" i="3"/>
  <c r="Z648" i="3"/>
  <c r="Z649" i="3"/>
  <c r="Z652" i="3"/>
  <c r="Z657" i="3"/>
  <c r="Z659" i="3"/>
  <c r="Z660" i="3"/>
  <c r="Z665" i="3"/>
  <c r="Z668" i="3"/>
  <c r="Z669" i="3"/>
  <c r="Z671" i="3"/>
  <c r="Z681" i="3"/>
  <c r="Z684" i="3"/>
  <c r="Z696" i="3"/>
  <c r="X13" i="3"/>
  <c r="X14" i="3"/>
  <c r="X16" i="3"/>
  <c r="X17" i="3"/>
  <c r="X22" i="3"/>
  <c r="X25" i="3"/>
  <c r="X30" i="3"/>
  <c r="X31" i="3"/>
  <c r="X33" i="3"/>
  <c r="X34" i="3"/>
  <c r="X37" i="3"/>
  <c r="X41" i="3"/>
  <c r="X46" i="3"/>
  <c r="X49" i="3"/>
  <c r="X50" i="3"/>
  <c r="X59" i="3"/>
  <c r="X61" i="3"/>
  <c r="X65" i="3"/>
  <c r="X68" i="3"/>
  <c r="X73" i="3"/>
  <c r="X74" i="3"/>
  <c r="X77" i="3"/>
  <c r="X79" i="3"/>
  <c r="X82" i="3"/>
  <c r="X86" i="3"/>
  <c r="X89" i="3"/>
  <c r="X91" i="3"/>
  <c r="X92" i="3"/>
  <c r="X94" i="3"/>
  <c r="X97" i="3"/>
  <c r="X98" i="3"/>
  <c r="X103" i="3"/>
  <c r="X104" i="3"/>
  <c r="X106" i="3"/>
  <c r="X109" i="3"/>
  <c r="X110" i="3"/>
  <c r="X112" i="3"/>
  <c r="X113" i="3"/>
  <c r="X121" i="3"/>
  <c r="X122" i="3"/>
  <c r="X125" i="3"/>
  <c r="X127" i="3"/>
  <c r="X130" i="3"/>
  <c r="X134" i="3"/>
  <c r="X139" i="3"/>
  <c r="X140" i="3"/>
  <c r="X142" i="3"/>
  <c r="X146" i="3"/>
  <c r="X150" i="3"/>
  <c r="X152" i="3"/>
  <c r="X161" i="3"/>
  <c r="X165" i="3"/>
  <c r="X173" i="3"/>
  <c r="X181" i="3"/>
  <c r="X182" i="3"/>
  <c r="X184" i="3"/>
  <c r="X191" i="3"/>
  <c r="AB191" i="3" s="1"/>
  <c r="X204" i="3"/>
  <c r="X206" i="3"/>
  <c r="X207" i="3"/>
  <c r="X220" i="3"/>
  <c r="X224" i="3"/>
  <c r="X230" i="3"/>
  <c r="X246" i="3"/>
  <c r="X248" i="3"/>
  <c r="X251" i="3"/>
  <c r="X253" i="3"/>
  <c r="X258" i="3"/>
  <c r="X259" i="3"/>
  <c r="X261" i="3"/>
  <c r="X264" i="3"/>
  <c r="X270" i="3"/>
  <c r="X273" i="3"/>
  <c r="X276" i="3"/>
  <c r="X278" i="3"/>
  <c r="X280" i="3"/>
  <c r="X282" i="3"/>
  <c r="X285" i="3"/>
  <c r="X288" i="3"/>
  <c r="X289" i="3"/>
  <c r="X291" i="3"/>
  <c r="X294" i="3"/>
  <c r="X299" i="3"/>
  <c r="X301" i="3"/>
  <c r="X308" i="3"/>
  <c r="X311" i="3"/>
  <c r="X313" i="3"/>
  <c r="X316" i="3"/>
  <c r="X317" i="3"/>
  <c r="X319" i="3"/>
  <c r="X321" i="3"/>
  <c r="X324" i="3"/>
  <c r="X325" i="3"/>
  <c r="X327" i="3"/>
  <c r="X337" i="3"/>
  <c r="X339" i="3"/>
  <c r="X342" i="3"/>
  <c r="X343" i="3"/>
  <c r="X345" i="3"/>
  <c r="X363" i="3"/>
  <c r="AC363" i="3" s="1"/>
  <c r="X366" i="3"/>
  <c r="X369" i="3"/>
  <c r="X371" i="3"/>
  <c r="AC371" i="3" s="1"/>
  <c r="X382" i="3"/>
  <c r="X388" i="3"/>
  <c r="X393" i="3"/>
  <c r="AC393" i="3" s="1"/>
  <c r="X396" i="3"/>
  <c r="AC396" i="3" s="1"/>
  <c r="X401" i="3"/>
  <c r="AC401" i="3" s="1"/>
  <c r="X404" i="3"/>
  <c r="AC404" i="3" s="1"/>
  <c r="X406" i="3"/>
  <c r="AC406" i="3" s="1"/>
  <c r="X409" i="3"/>
  <c r="AC409" i="3" s="1"/>
  <c r="X410" i="3"/>
  <c r="AC410" i="3" s="1"/>
  <c r="X412" i="3"/>
  <c r="X413" i="3"/>
  <c r="X425" i="3"/>
  <c r="X433" i="3"/>
  <c r="AC433" i="3" s="1"/>
  <c r="X440" i="3"/>
  <c r="AC440" i="3" s="1"/>
  <c r="X458" i="3"/>
  <c r="AC458" i="3" s="1"/>
  <c r="X460" i="3"/>
  <c r="AC460" i="3" s="1"/>
  <c r="X461" i="3"/>
  <c r="X463" i="3"/>
  <c r="X464" i="3"/>
  <c r="X466" i="3"/>
  <c r="X469" i="3"/>
  <c r="X477" i="3"/>
  <c r="X484" i="3"/>
  <c r="X486" i="3"/>
  <c r="X492" i="3"/>
  <c r="X493" i="3"/>
  <c r="X505" i="3"/>
  <c r="X507" i="3"/>
  <c r="X512" i="3"/>
  <c r="X515" i="3"/>
  <c r="AC515" i="3" s="1"/>
  <c r="X517" i="3"/>
  <c r="X520" i="3"/>
  <c r="X528" i="3"/>
  <c r="X532" i="3"/>
  <c r="X537" i="3"/>
  <c r="AC537" i="3" s="1"/>
  <c r="X541" i="3"/>
  <c r="AC541" i="3" s="1"/>
  <c r="X542" i="3"/>
  <c r="X545" i="3"/>
  <c r="X547" i="3"/>
  <c r="X548" i="3"/>
  <c r="X551" i="3"/>
  <c r="X553" i="3"/>
  <c r="X560" i="3"/>
  <c r="X565" i="3"/>
  <c r="X567" i="3"/>
  <c r="X570" i="3"/>
  <c r="X575" i="3"/>
  <c r="X577" i="3"/>
  <c r="X581" i="3"/>
  <c r="X586" i="3"/>
  <c r="X588" i="3"/>
  <c r="X596" i="3"/>
  <c r="X601" i="3"/>
  <c r="X602" i="3"/>
  <c r="X617" i="3"/>
  <c r="X621" i="3"/>
  <c r="X628" i="3"/>
  <c r="X633" i="3"/>
  <c r="X636" i="3"/>
  <c r="X642" i="3"/>
  <c r="X643" i="3"/>
  <c r="X645" i="3"/>
  <c r="X646" i="3"/>
  <c r="X649" i="3"/>
  <c r="X652" i="3"/>
  <c r="X653" i="3"/>
  <c r="X657" i="3"/>
  <c r="X659" i="3"/>
  <c r="X660" i="3"/>
  <c r="X662" i="3"/>
  <c r="X663" i="3"/>
  <c r="X665" i="3"/>
  <c r="X669" i="3"/>
  <c r="X671" i="3"/>
  <c r="X681" i="3"/>
  <c r="AC681" i="3" s="1"/>
  <c r="X684" i="3"/>
  <c r="AC684" i="3" s="1"/>
  <c r="X696" i="3"/>
  <c r="AC696" i="3" s="1"/>
  <c r="Y13" i="3"/>
  <c r="AA13" i="3" s="1"/>
  <c r="Y14" i="3"/>
  <c r="AA14" i="3" s="1"/>
  <c r="Y16" i="3"/>
  <c r="AA16" i="3" s="1"/>
  <c r="Y17" i="3"/>
  <c r="AA17" i="3" s="1"/>
  <c r="Y21" i="3"/>
  <c r="AA21" i="3" s="1"/>
  <c r="Y22" i="3"/>
  <c r="AA22" i="3" s="1"/>
  <c r="Y25" i="3"/>
  <c r="AA25" i="3" s="1"/>
  <c r="Y27" i="3"/>
  <c r="AA27" i="3" s="1"/>
  <c r="Y30" i="3"/>
  <c r="AA30" i="3" s="1"/>
  <c r="Y33" i="3"/>
  <c r="AA33" i="3" s="1"/>
  <c r="Y37" i="3"/>
  <c r="AA37" i="3" s="1"/>
  <c r="Y41" i="3"/>
  <c r="AA41" i="3" s="1"/>
  <c r="Y46" i="3"/>
  <c r="AA46" i="3" s="1"/>
  <c r="Y49" i="3"/>
  <c r="AA49" i="3" s="1"/>
  <c r="Y50" i="3"/>
  <c r="AA50" i="3" s="1"/>
  <c r="Y52" i="3"/>
  <c r="AA52" i="3" s="1"/>
  <c r="Y53" i="3"/>
  <c r="AA53" i="3" s="1"/>
  <c r="Y56" i="3"/>
  <c r="AA56" i="3" s="1"/>
  <c r="Y58" i="3"/>
  <c r="AA58" i="3" s="1"/>
  <c r="Y61" i="3"/>
  <c r="AA61" i="3" s="1"/>
  <c r="Y65" i="3"/>
  <c r="AA65" i="3" s="1"/>
  <c r="Y71" i="3"/>
  <c r="AA71" i="3" s="1"/>
  <c r="Y74" i="3"/>
  <c r="AA74" i="3" s="1"/>
  <c r="Y77" i="3"/>
  <c r="AA77" i="3" s="1"/>
  <c r="Y79" i="3"/>
  <c r="AA79" i="3" s="1"/>
  <c r="Y82" i="3"/>
  <c r="AA82" i="3" s="1"/>
  <c r="Y83" i="3"/>
  <c r="AA83" i="3" s="1"/>
  <c r="Y86" i="3"/>
  <c r="AA86" i="3" s="1"/>
  <c r="Y94" i="3"/>
  <c r="AA94" i="3" s="1"/>
  <c r="Y95" i="3"/>
  <c r="AA95" i="3" s="1"/>
  <c r="Y98" i="3"/>
  <c r="AA98" i="3" s="1"/>
  <c r="Y103" i="3"/>
  <c r="AA103" i="3" s="1"/>
  <c r="Y106" i="3"/>
  <c r="AA106" i="3" s="1"/>
  <c r="Y107" i="3"/>
  <c r="AA107" i="3" s="1"/>
  <c r="Y109" i="3"/>
  <c r="AA109" i="3" s="1"/>
  <c r="Y110" i="3"/>
  <c r="AA110" i="3" s="1"/>
  <c r="Y112" i="3"/>
  <c r="AA112" i="3" s="1"/>
  <c r="Y113" i="3"/>
  <c r="AA113" i="3" s="1"/>
  <c r="Y116" i="3"/>
  <c r="AA116" i="3" s="1"/>
  <c r="Y121" i="3"/>
  <c r="AA121" i="3" s="1"/>
  <c r="Y125" i="3"/>
  <c r="AA125" i="3" s="1"/>
  <c r="Y127" i="3"/>
  <c r="AA127" i="3" s="1"/>
  <c r="Y130" i="3"/>
  <c r="AA130" i="3" s="1"/>
  <c r="Y131" i="3"/>
  <c r="AA131" i="3" s="1"/>
  <c r="Y134" i="3"/>
  <c r="AA134" i="3" s="1"/>
  <c r="Y137" i="3"/>
  <c r="AA137" i="3" s="1"/>
  <c r="Y139" i="3"/>
  <c r="AA139" i="3" s="1"/>
  <c r="Y142" i="3"/>
  <c r="AA142" i="3" s="1"/>
  <c r="Y143" i="3"/>
  <c r="AA143" i="3" s="1"/>
  <c r="Y145" i="3"/>
  <c r="AA145" i="3" s="1"/>
  <c r="Y146" i="3"/>
  <c r="AA146" i="3" s="1"/>
  <c r="Y150" i="3"/>
  <c r="AA150" i="3" s="1"/>
  <c r="Y153" i="3"/>
  <c r="AA153" i="3" s="1"/>
  <c r="Y155" i="3"/>
  <c r="AA155" i="3" s="1"/>
  <c r="Y157" i="3"/>
  <c r="AA157" i="3" s="1"/>
  <c r="Y158" i="3"/>
  <c r="AA158" i="3" s="1"/>
  <c r="Y159" i="3"/>
  <c r="AA159" i="3" s="1"/>
  <c r="Y161" i="3"/>
  <c r="AA161" i="3" s="1"/>
  <c r="Y164" i="3"/>
  <c r="AA164" i="3" s="1"/>
  <c r="Y165" i="3"/>
  <c r="AA165" i="3" s="1"/>
  <c r="Y175" i="3"/>
  <c r="AA175" i="3" s="1"/>
  <c r="Y178" i="3"/>
  <c r="AA178" i="3" s="1"/>
  <c r="Y179" i="3"/>
  <c r="AA179" i="3" s="1"/>
  <c r="Y182" i="3"/>
  <c r="AA182" i="3" s="1"/>
  <c r="Y184" i="3"/>
  <c r="AA184" i="3" s="1"/>
  <c r="Y185" i="3"/>
  <c r="AA185" i="3" s="1"/>
  <c r="Y190" i="3"/>
  <c r="AA190" i="3" s="1"/>
  <c r="Y195" i="3"/>
  <c r="AA195" i="3" s="1"/>
  <c r="Y198" i="3"/>
  <c r="AA198" i="3" s="1"/>
  <c r="Y199" i="3"/>
  <c r="AA199" i="3" s="1"/>
  <c r="Y204" i="3"/>
  <c r="AA204" i="3" s="1"/>
  <c r="Y207" i="3"/>
  <c r="AA207" i="3" s="1"/>
  <c r="Y209" i="3"/>
  <c r="AA209" i="3" s="1"/>
  <c r="Y215" i="3"/>
  <c r="AA215" i="3" s="1"/>
  <c r="Y221" i="3"/>
  <c r="AA221" i="3" s="1"/>
  <c r="Y224" i="3"/>
  <c r="AA224" i="3" s="1"/>
  <c r="Y230" i="3"/>
  <c r="AA230" i="3" s="1"/>
  <c r="Y237" i="3"/>
  <c r="AA237" i="3" s="1"/>
  <c r="Y240" i="3"/>
  <c r="AA240" i="3" s="1"/>
  <c r="Y244" i="3"/>
  <c r="AA244" i="3" s="1"/>
  <c r="Y245" i="3"/>
  <c r="AA245" i="3" s="1"/>
  <c r="Y248" i="3"/>
  <c r="AA248" i="3" s="1"/>
  <c r="Y249" i="3"/>
  <c r="AA249" i="3" s="1"/>
  <c r="Y250" i="3"/>
  <c r="AA250" i="3" s="1"/>
  <c r="Y251" i="3"/>
  <c r="AA251" i="3" s="1"/>
  <c r="Y253" i="3"/>
  <c r="AA253" i="3" s="1"/>
  <c r="Y255" i="3"/>
  <c r="AA255" i="3" s="1"/>
  <c r="Y256" i="3"/>
  <c r="AA256" i="3" s="1"/>
  <c r="Y258" i="3"/>
  <c r="AA258" i="3" s="1"/>
  <c r="Y261" i="3"/>
  <c r="AA261" i="3" s="1"/>
  <c r="Y262" i="3"/>
  <c r="AA262" i="3" s="1"/>
  <c r="Y263" i="3"/>
  <c r="AA263" i="3" s="1"/>
  <c r="Y264" i="3"/>
  <c r="AA264" i="3" s="1"/>
  <c r="Y266" i="3"/>
  <c r="AA266" i="3" s="1"/>
  <c r="Y267" i="3"/>
  <c r="AA267" i="3" s="1"/>
  <c r="Y270" i="3"/>
  <c r="AA270" i="3" s="1"/>
  <c r="Y273" i="3"/>
  <c r="AA273" i="3" s="1"/>
  <c r="Y274" i="3"/>
  <c r="AA274" i="3" s="1"/>
  <c r="Y276" i="3"/>
  <c r="AA276" i="3" s="1"/>
  <c r="Y278" i="3"/>
  <c r="AA278" i="3" s="1"/>
  <c r="Y279" i="3"/>
  <c r="AA279" i="3" s="1"/>
  <c r="Y280" i="3"/>
  <c r="AA280" i="3" s="1"/>
  <c r="Y282" i="3"/>
  <c r="AA282" i="3" s="1"/>
  <c r="Y285" i="3"/>
  <c r="AA285" i="3" s="1"/>
  <c r="Y288" i="3"/>
  <c r="AA288" i="3" s="1"/>
  <c r="Y289" i="3"/>
  <c r="AA289" i="3" s="1"/>
  <c r="Y291" i="3"/>
  <c r="AA291" i="3" s="1"/>
  <c r="Y292" i="3"/>
  <c r="AA292" i="3" s="1"/>
  <c r="Y294" i="3"/>
  <c r="AA294" i="3" s="1"/>
  <c r="Y296" i="3"/>
  <c r="AA296" i="3" s="1"/>
  <c r="Y297" i="3"/>
  <c r="AA297" i="3" s="1"/>
  <c r="Y298" i="3"/>
  <c r="AA298" i="3" s="1"/>
  <c r="Y299" i="3"/>
  <c r="AA299" i="3" s="1"/>
  <c r="Y301" i="3"/>
  <c r="AA301" i="3" s="1"/>
  <c r="Y305" i="3"/>
  <c r="AA305" i="3" s="1"/>
  <c r="Y308" i="3"/>
  <c r="AA308" i="3" s="1"/>
  <c r="Y309" i="3"/>
  <c r="AA309" i="3" s="1"/>
  <c r="Y311" i="3"/>
  <c r="AA311" i="3" s="1"/>
  <c r="Y313" i="3"/>
  <c r="AA313" i="3" s="1"/>
  <c r="Y316" i="3"/>
  <c r="AA316" i="3" s="1"/>
  <c r="Y317" i="3"/>
  <c r="AA317" i="3" s="1"/>
  <c r="Y319" i="3"/>
  <c r="AA319" i="3" s="1"/>
  <c r="Y321" i="3"/>
  <c r="AA321" i="3" s="1"/>
  <c r="Y324" i="3"/>
  <c r="AA324" i="3" s="1"/>
  <c r="Y325" i="3"/>
  <c r="AA325" i="3" s="1"/>
  <c r="Y327" i="3"/>
  <c r="AA327" i="3" s="1"/>
  <c r="Y329" i="3"/>
  <c r="AA329" i="3" s="1"/>
  <c r="Y331" i="3"/>
  <c r="AA331" i="3" s="1"/>
  <c r="Y332" i="3"/>
  <c r="AA332" i="3" s="1"/>
  <c r="Y333" i="3"/>
  <c r="AA333" i="3" s="1"/>
  <c r="Y337" i="3"/>
  <c r="AA337" i="3" s="1"/>
  <c r="Y339" i="3"/>
  <c r="AA339" i="3" s="1"/>
  <c r="Y342" i="3"/>
  <c r="AA342" i="3" s="1"/>
  <c r="Y345" i="3"/>
  <c r="AA345" i="3" s="1"/>
  <c r="Y346" i="3"/>
  <c r="AA346" i="3" s="1"/>
  <c r="Y347" i="3"/>
  <c r="AA347" i="3" s="1"/>
  <c r="Y348" i="3"/>
  <c r="AA348" i="3" s="1"/>
  <c r="Y349" i="3"/>
  <c r="AA349" i="3" s="1"/>
  <c r="Y350" i="3"/>
  <c r="AA350" i="3" s="1"/>
  <c r="Y351" i="3"/>
  <c r="AA351" i="3" s="1"/>
  <c r="Y353" i="3"/>
  <c r="AA353" i="3" s="1"/>
  <c r="Y354" i="3"/>
  <c r="AA354" i="3" s="1"/>
  <c r="Y355" i="3"/>
  <c r="AA355" i="3" s="1"/>
  <c r="Y356" i="3"/>
  <c r="AA356" i="3" s="1"/>
  <c r="Y357" i="3"/>
  <c r="AA357" i="3" s="1"/>
  <c r="Y358" i="3"/>
  <c r="AA358" i="3" s="1"/>
  <c r="Y361" i="3"/>
  <c r="AA361" i="3" s="1"/>
  <c r="Y362" i="3"/>
  <c r="AA362" i="3" s="1"/>
  <c r="Y363" i="3"/>
  <c r="AA363" i="3" s="1"/>
  <c r="Y366" i="3"/>
  <c r="AA366" i="3" s="1"/>
  <c r="Y369" i="3"/>
  <c r="AA369" i="3" s="1"/>
  <c r="Y371" i="3"/>
  <c r="AA371" i="3" s="1"/>
  <c r="Y373" i="3"/>
  <c r="AA373" i="3" s="1"/>
  <c r="Y374" i="3"/>
  <c r="AA374" i="3" s="1"/>
  <c r="Y375" i="3"/>
  <c r="AA375" i="3" s="1"/>
  <c r="Y377" i="3"/>
  <c r="AA377" i="3" s="1"/>
  <c r="Y380" i="3"/>
  <c r="AA380" i="3" s="1"/>
  <c r="Y387" i="3"/>
  <c r="AA387" i="3" s="1"/>
  <c r="Y388" i="3"/>
  <c r="AA388" i="3" s="1"/>
  <c r="Y393" i="3"/>
  <c r="AA393" i="3" s="1"/>
  <c r="Y396" i="3"/>
  <c r="AA396" i="3" s="1"/>
  <c r="Y397" i="3"/>
  <c r="AA397" i="3" s="1"/>
  <c r="Y398" i="3"/>
  <c r="AA398" i="3" s="1"/>
  <c r="Y401" i="3"/>
  <c r="AA401" i="3" s="1"/>
  <c r="Y404" i="3"/>
  <c r="AA404" i="3" s="1"/>
  <c r="Y409" i="3"/>
  <c r="AA409" i="3" s="1"/>
  <c r="Y410" i="3"/>
  <c r="AA410" i="3" s="1"/>
  <c r="Y412" i="3"/>
  <c r="AA412" i="3" s="1"/>
  <c r="Y413" i="3"/>
  <c r="AA413" i="3" s="1"/>
  <c r="Y420" i="3"/>
  <c r="AA420" i="3" s="1"/>
  <c r="Y428" i="3"/>
  <c r="AA428" i="3" s="1"/>
  <c r="Y429" i="3"/>
  <c r="AA429" i="3" s="1"/>
  <c r="Y433" i="3"/>
  <c r="AA433" i="3" s="1"/>
  <c r="Y435" i="3"/>
  <c r="AA435" i="3" s="1"/>
  <c r="Y436" i="3"/>
  <c r="AA436" i="3" s="1"/>
  <c r="Y437" i="3"/>
  <c r="AA437" i="3" s="1"/>
  <c r="Y440" i="3"/>
  <c r="AA440" i="3" s="1"/>
  <c r="Y441" i="3"/>
  <c r="AA441" i="3" s="1"/>
  <c r="Y443" i="3"/>
  <c r="AA443" i="3" s="1"/>
  <c r="Y444" i="3"/>
  <c r="AA444" i="3" s="1"/>
  <c r="Y445" i="3"/>
  <c r="AA445" i="3" s="1"/>
  <c r="Y449" i="3"/>
  <c r="AA449" i="3" s="1"/>
  <c r="Y454" i="3"/>
  <c r="AA454" i="3" s="1"/>
  <c r="Y458" i="3"/>
  <c r="AA458" i="3" s="1"/>
  <c r="Y460" i="3"/>
  <c r="AA460" i="3" s="1"/>
  <c r="Y463" i="3"/>
  <c r="AA463" i="3" s="1"/>
  <c r="Y464" i="3"/>
  <c r="AA464" i="3" s="1"/>
  <c r="Y466" i="3"/>
  <c r="AA466" i="3" s="1"/>
  <c r="Y468" i="3"/>
  <c r="AA468" i="3" s="1"/>
  <c r="Y469" i="3"/>
  <c r="AA469" i="3" s="1"/>
  <c r="Y472" i="3"/>
  <c r="AA472" i="3" s="1"/>
  <c r="Y473" i="3"/>
  <c r="AA473" i="3" s="1"/>
  <c r="Y475" i="3"/>
  <c r="AA475" i="3" s="1"/>
  <c r="Y477" i="3"/>
  <c r="AA477" i="3" s="1"/>
  <c r="Y479" i="3"/>
  <c r="AA479" i="3" s="1"/>
  <c r="Y480" i="3"/>
  <c r="AA480" i="3" s="1"/>
  <c r="Y481" i="3"/>
  <c r="AA481" i="3" s="1"/>
  <c r="Y484" i="3"/>
  <c r="AA484" i="3" s="1"/>
  <c r="Y486" i="3"/>
  <c r="AA486" i="3" s="1"/>
  <c r="Y488" i="3"/>
  <c r="AA488" i="3" s="1"/>
  <c r="Y489" i="3"/>
  <c r="AA489" i="3" s="1"/>
  <c r="Y490" i="3"/>
  <c r="AA490" i="3" s="1"/>
  <c r="Y492" i="3"/>
  <c r="AA492" i="3" s="1"/>
  <c r="Y493" i="3"/>
  <c r="AA493" i="3" s="1"/>
  <c r="Y496" i="3"/>
  <c r="AA496" i="3" s="1"/>
  <c r="Y497" i="3"/>
  <c r="AA497" i="3" s="1"/>
  <c r="Y498" i="3"/>
  <c r="AA498" i="3" s="1"/>
  <c r="Y503" i="3"/>
  <c r="AA503" i="3" s="1"/>
  <c r="Y504" i="3"/>
  <c r="AA504" i="3" s="1"/>
  <c r="Y505" i="3"/>
  <c r="AA505" i="3" s="1"/>
  <c r="Y507" i="3"/>
  <c r="AA507" i="3" s="1"/>
  <c r="Y508" i="3"/>
  <c r="AA508" i="3" s="1"/>
  <c r="Y510" i="3"/>
  <c r="AA510" i="3" s="1"/>
  <c r="Y511" i="3"/>
  <c r="AA511" i="3" s="1"/>
  <c r="Y512" i="3"/>
  <c r="AA512" i="3" s="1"/>
  <c r="Y515" i="3"/>
  <c r="AA515" i="3" s="1"/>
  <c r="Y519" i="3"/>
  <c r="AA519" i="3" s="1"/>
  <c r="Y520" i="3"/>
  <c r="AA520" i="3" s="1"/>
  <c r="Y523" i="3"/>
  <c r="AA523" i="3" s="1"/>
  <c r="Y524" i="3"/>
  <c r="AA524" i="3" s="1"/>
  <c r="Y525" i="3"/>
  <c r="AA525" i="3" s="1"/>
  <c r="Y528" i="3"/>
  <c r="AA528" i="3" s="1"/>
  <c r="Y531" i="3"/>
  <c r="AA531" i="3" s="1"/>
  <c r="Y532" i="3"/>
  <c r="AA532" i="3" s="1"/>
  <c r="Y535" i="3"/>
  <c r="AA535" i="3" s="1"/>
  <c r="Y537" i="3"/>
  <c r="AA537" i="3" s="1"/>
  <c r="Y541" i="3"/>
  <c r="AA541" i="3" s="1"/>
  <c r="Y542" i="3"/>
  <c r="AA542" i="3" s="1"/>
  <c r="Y545" i="3"/>
  <c r="AA545" i="3" s="1"/>
  <c r="Y551" i="3"/>
  <c r="AA551" i="3" s="1"/>
  <c r="Y553" i="3"/>
  <c r="AA553" i="3" s="1"/>
  <c r="Y554" i="3"/>
  <c r="AA554" i="3" s="1"/>
  <c r="Y555" i="3"/>
  <c r="AA555" i="3" s="1"/>
  <c r="Y557" i="3"/>
  <c r="AA557" i="3" s="1"/>
  <c r="Y558" i="3"/>
  <c r="AA558" i="3" s="1"/>
  <c r="Y559" i="3"/>
  <c r="AA559" i="3" s="1"/>
  <c r="Y563" i="3"/>
  <c r="AA563" i="3" s="1"/>
  <c r="Y564" i="3"/>
  <c r="AA564" i="3" s="1"/>
  <c r="Y565" i="3"/>
  <c r="AA565" i="3" s="1"/>
  <c r="Y570" i="3"/>
  <c r="AA570" i="3" s="1"/>
  <c r="Y571" i="3"/>
  <c r="AA571" i="3" s="1"/>
  <c r="Y573" i="3"/>
  <c r="AA573" i="3" s="1"/>
  <c r="Y574" i="3"/>
  <c r="AA574" i="3" s="1"/>
  <c r="Y575" i="3"/>
  <c r="AA575" i="3" s="1"/>
  <c r="Y577" i="3"/>
  <c r="AA577" i="3" s="1"/>
  <c r="Y578" i="3"/>
  <c r="AA578" i="3" s="1"/>
  <c r="Y579" i="3"/>
  <c r="AA579" i="3" s="1"/>
  <c r="Y580" i="3"/>
  <c r="AA580" i="3" s="1"/>
  <c r="Y581" i="3"/>
  <c r="AA581" i="3" s="1"/>
  <c r="Y583" i="3"/>
  <c r="AA583" i="3" s="1"/>
  <c r="Y584" i="3"/>
  <c r="AA584" i="3" s="1"/>
  <c r="Y585" i="3"/>
  <c r="AA585" i="3" s="1"/>
  <c r="Y586" i="3"/>
  <c r="AA586" i="3" s="1"/>
  <c r="Y588" i="3"/>
  <c r="AA588" i="3" s="1"/>
  <c r="Y589" i="3"/>
  <c r="AA589" i="3" s="1"/>
  <c r="Y592" i="3"/>
  <c r="AA592" i="3" s="1"/>
  <c r="Y593" i="3"/>
  <c r="AA593" i="3" s="1"/>
  <c r="Y596" i="3"/>
  <c r="AA596" i="3" s="1"/>
  <c r="Y597" i="3"/>
  <c r="AA597" i="3" s="1"/>
  <c r="Y598" i="3"/>
  <c r="AA598" i="3" s="1"/>
  <c r="Y601" i="3"/>
  <c r="AA601" i="3" s="1"/>
  <c r="Y602" i="3"/>
  <c r="AA602" i="3" s="1"/>
  <c r="Y604" i="3"/>
  <c r="AA604" i="3" s="1"/>
  <c r="Y605" i="3"/>
  <c r="AA605" i="3" s="1"/>
  <c r="Y606" i="3"/>
  <c r="AA606" i="3" s="1"/>
  <c r="Y610" i="3"/>
  <c r="AA610" i="3" s="1"/>
  <c r="Y612" i="3"/>
  <c r="AA612" i="3" s="1"/>
  <c r="Y613" i="3"/>
  <c r="AA613" i="3" s="1"/>
  <c r="Y615" i="3"/>
  <c r="AA615" i="3" s="1"/>
  <c r="Y617" i="3"/>
  <c r="AA617" i="3" s="1"/>
  <c r="Y620" i="3"/>
  <c r="AA620" i="3" s="1"/>
  <c r="Y621" i="3"/>
  <c r="AA621" i="3" s="1"/>
  <c r="Y624" i="3"/>
  <c r="AA624" i="3" s="1"/>
  <c r="Y625" i="3"/>
  <c r="AA625" i="3" s="1"/>
  <c r="Y628" i="3"/>
  <c r="AA628" i="3" s="1"/>
  <c r="Y631" i="3"/>
  <c r="AA631" i="3" s="1"/>
  <c r="Y633" i="3"/>
  <c r="AA633" i="3" s="1"/>
  <c r="Y636" i="3"/>
  <c r="AA636" i="3" s="1"/>
  <c r="Y639" i="3"/>
  <c r="AA639" i="3" s="1"/>
  <c r="Y640" i="3"/>
  <c r="AA640" i="3" s="1"/>
  <c r="Y642" i="3"/>
  <c r="AA642" i="3" s="1"/>
  <c r="Y645" i="3"/>
  <c r="AA645" i="3" s="1"/>
  <c r="Y646" i="3"/>
  <c r="AA646" i="3" s="1"/>
  <c r="Y649" i="3"/>
  <c r="AA649" i="3" s="1"/>
  <c r="Y652" i="3"/>
  <c r="AA652" i="3" s="1"/>
  <c r="Y653" i="3"/>
  <c r="AA653" i="3" s="1"/>
  <c r="Y655" i="3"/>
  <c r="AA655" i="3" s="1"/>
  <c r="Y657" i="3"/>
  <c r="AA657" i="3" s="1"/>
  <c r="Y659" i="3"/>
  <c r="AA659" i="3" s="1"/>
  <c r="Y660" i="3"/>
  <c r="AA660" i="3" s="1"/>
  <c r="Y662" i="3"/>
  <c r="AA662" i="3" s="1"/>
  <c r="Y663" i="3"/>
  <c r="AA663" i="3" s="1"/>
  <c r="Y665" i="3"/>
  <c r="AA665" i="3" s="1"/>
  <c r="Y666" i="3"/>
  <c r="AA666" i="3" s="1"/>
  <c r="Y669" i="3"/>
  <c r="AA669" i="3" s="1"/>
  <c r="Y671" i="3"/>
  <c r="AA671" i="3" s="1"/>
  <c r="Y672" i="3"/>
  <c r="AA672" i="3" s="1"/>
  <c r="Y674" i="3"/>
  <c r="AA674" i="3" s="1"/>
  <c r="Y675" i="3"/>
  <c r="AA675" i="3" s="1"/>
  <c r="Y676" i="3"/>
  <c r="AA676" i="3" s="1"/>
  <c r="Y678" i="3"/>
  <c r="AA678" i="3" s="1"/>
  <c r="Y679" i="3"/>
  <c r="AA679" i="3" s="1"/>
  <c r="Y681" i="3"/>
  <c r="AA681" i="3" s="1"/>
  <c r="Y683" i="3"/>
  <c r="AA683" i="3" s="1"/>
  <c r="Y684" i="3"/>
  <c r="AA684" i="3" s="1"/>
  <c r="Y687" i="3"/>
  <c r="AA687" i="3" s="1"/>
  <c r="Y688" i="3"/>
  <c r="AA688" i="3" s="1"/>
  <c r="Y689" i="3"/>
  <c r="AA689" i="3" s="1"/>
  <c r="Y692" i="3"/>
  <c r="AA692" i="3" s="1"/>
  <c r="Y693" i="3"/>
  <c r="AA693" i="3" s="1"/>
  <c r="Y696" i="3"/>
  <c r="AA696" i="3" s="1"/>
  <c r="Y697" i="3"/>
  <c r="AA697" i="3" s="1"/>
  <c r="Y699" i="3"/>
  <c r="AA699" i="3" s="1"/>
  <c r="Y700" i="3"/>
  <c r="AA700" i="3" s="1"/>
  <c r="Y701" i="3"/>
  <c r="AA701" i="3" s="1"/>
  <c r="Y705" i="3"/>
  <c r="AA705" i="3" s="1"/>
  <c r="Y707" i="3"/>
  <c r="AA707" i="3" s="1"/>
  <c r="Y708" i="3"/>
  <c r="AA708" i="3" s="1"/>
  <c r="Y710" i="3"/>
  <c r="AA710" i="3" s="1"/>
  <c r="Y712" i="3"/>
  <c r="AA712" i="3" s="1"/>
  <c r="AC659" i="3" l="1"/>
  <c r="AC621" i="3"/>
  <c r="AC140" i="3"/>
  <c r="AC660" i="3"/>
  <c r="AC628" i="3"/>
  <c r="AC601" i="3"/>
  <c r="AC339" i="3"/>
  <c r="AC316" i="3"/>
  <c r="AC301" i="3"/>
  <c r="AC289" i="3"/>
  <c r="AC280" i="3"/>
  <c r="AC270" i="3"/>
  <c r="AC92" i="3"/>
  <c r="AC649" i="3"/>
  <c r="AC642" i="3"/>
  <c r="AC520" i="3"/>
  <c r="AC94" i="3"/>
  <c r="AC542" i="3"/>
  <c r="AC657" i="3"/>
  <c r="AC646" i="3"/>
  <c r="AC517" i="3"/>
  <c r="AC319" i="3"/>
  <c r="AC311" i="3"/>
  <c r="AC294" i="3"/>
  <c r="AC261" i="3"/>
  <c r="AC251" i="3"/>
  <c r="AC224" i="3"/>
  <c r="AC152" i="3"/>
  <c r="AC34" i="3"/>
  <c r="AC308" i="3"/>
  <c r="AC617" i="3"/>
  <c r="AC182" i="3"/>
  <c r="AC142" i="3"/>
  <c r="AC98" i="3"/>
  <c r="AC653" i="3"/>
  <c r="AC645" i="3"/>
  <c r="AC633" i="3"/>
  <c r="AC602" i="3"/>
  <c r="AC586" i="3"/>
  <c r="AC570" i="3"/>
  <c r="AC553" i="3"/>
  <c r="AC493" i="3"/>
  <c r="AC477" i="3"/>
  <c r="AC366" i="3"/>
  <c r="AC342" i="3"/>
  <c r="AC325" i="3"/>
  <c r="AC317" i="3"/>
  <c r="AC291" i="3"/>
  <c r="AC282" i="3"/>
  <c r="AC273" i="3"/>
  <c r="AC248" i="3"/>
  <c r="AC139" i="3"/>
  <c r="AC125" i="3"/>
  <c r="AC86" i="3"/>
  <c r="AC74" i="3"/>
  <c r="AC61" i="3"/>
  <c r="AC33" i="3"/>
  <c r="AC22" i="3"/>
  <c r="AC464" i="3"/>
  <c r="Z238" i="3"/>
  <c r="AC204" i="3"/>
  <c r="AC68" i="3"/>
  <c r="X238" i="3"/>
  <c r="AB238" i="3" s="1"/>
  <c r="AC58" i="3"/>
  <c r="AC665" i="3"/>
  <c r="AC507" i="3"/>
  <c r="AC109" i="3"/>
  <c r="AC652" i="3"/>
  <c r="AC581" i="3"/>
  <c r="AC567" i="3"/>
  <c r="AC551" i="3"/>
  <c r="AC528" i="3"/>
  <c r="AC512" i="3"/>
  <c r="AC492" i="3"/>
  <c r="AC469" i="3"/>
  <c r="AC324" i="3"/>
  <c r="AC258" i="3"/>
  <c r="AC165" i="3"/>
  <c r="AC134" i="3"/>
  <c r="AC110" i="3"/>
  <c r="AC103" i="3"/>
  <c r="AC17" i="3"/>
  <c r="AC588" i="3"/>
  <c r="AC560" i="3"/>
  <c r="AC532" i="3"/>
  <c r="AC484" i="3"/>
  <c r="AC104" i="3"/>
  <c r="AC128" i="3"/>
  <c r="AC385" i="3"/>
  <c r="AC431" i="3"/>
  <c r="AC669" i="3"/>
  <c r="AC545" i="3"/>
  <c r="AC463" i="3"/>
  <c r="AC173" i="3"/>
  <c r="AC13" i="3"/>
  <c r="AC671" i="3"/>
  <c r="AC662" i="3"/>
  <c r="AC575" i="3"/>
  <c r="AC547" i="3"/>
  <c r="AC505" i="3"/>
  <c r="AC413" i="3"/>
  <c r="AC343" i="3"/>
  <c r="AC327" i="3"/>
  <c r="AC127" i="3"/>
  <c r="AC113" i="3"/>
  <c r="AC106" i="3"/>
  <c r="AC77" i="3"/>
  <c r="AC49" i="3"/>
  <c r="AC25" i="3"/>
  <c r="AC14" i="3"/>
  <c r="AC175" i="3"/>
  <c r="AC377" i="3"/>
  <c r="AC636" i="3"/>
  <c r="AC577" i="3"/>
  <c r="AC565" i="3"/>
  <c r="AC486" i="3"/>
  <c r="AC466" i="3"/>
  <c r="AC345" i="3"/>
  <c r="AC321" i="3"/>
  <c r="AC313" i="3"/>
  <c r="AC299" i="3"/>
  <c r="AC288" i="3"/>
  <c r="AC278" i="3"/>
  <c r="AC264" i="3"/>
  <c r="AC253" i="3"/>
  <c r="AC50" i="3"/>
  <c r="AC37" i="3"/>
  <c r="T229" i="3"/>
  <c r="AC130" i="3"/>
  <c r="AC79" i="3"/>
  <c r="AC30" i="3"/>
  <c r="AC146" i="3"/>
  <c r="AC82" i="3"/>
  <c r="AC41" i="3"/>
  <c r="T213" i="3"/>
  <c r="V213" i="3" s="1"/>
  <c r="Z213" i="3"/>
  <c r="X213" i="3"/>
  <c r="AB213" i="3" s="1"/>
  <c r="Y213" i="3"/>
  <c r="AA213" i="3" s="1"/>
  <c r="T228" i="3"/>
  <c r="Y210" i="3"/>
  <c r="AA210" i="3" s="1"/>
  <c r="X210" i="3"/>
  <c r="Z210" i="3"/>
  <c r="X70" i="3"/>
  <c r="AC70" i="3" s="1"/>
  <c r="Y70" i="3"/>
  <c r="AA70" i="3" s="1"/>
  <c r="Z80" i="3"/>
  <c r="X80" i="3"/>
  <c r="AB80" i="3" s="1"/>
  <c r="Z91" i="3"/>
  <c r="AC91" i="3" s="1"/>
  <c r="Y91" i="3"/>
  <c r="AA91" i="3" s="1"/>
  <c r="Y119" i="3"/>
  <c r="AA119" i="3" s="1"/>
  <c r="Z145" i="3"/>
  <c r="Y173" i="3"/>
  <c r="AA173" i="3" s="1"/>
  <c r="Z207" i="3"/>
  <c r="AC207" i="3" s="1"/>
  <c r="Y220" i="3"/>
  <c r="AA220" i="3" s="1"/>
  <c r="Z220" i="3"/>
  <c r="AC220" i="3" s="1"/>
  <c r="Z232" i="3"/>
  <c r="X232" i="3"/>
  <c r="Z246" i="3"/>
  <c r="AC246" i="3" s="1"/>
  <c r="Z276" i="3"/>
  <c r="AC276" i="3" s="1"/>
  <c r="Z285" i="3"/>
  <c r="AC285" i="3" s="1"/>
  <c r="X340" i="3"/>
  <c r="AC340" i="3" s="1"/>
  <c r="Y340" i="3"/>
  <c r="AA340" i="3" s="1"/>
  <c r="X353" i="3"/>
  <c r="AC353" i="3" s="1"/>
  <c r="X365" i="3"/>
  <c r="AC365" i="3" s="1"/>
  <c r="Y365" i="3"/>
  <c r="AA365" i="3" s="1"/>
  <c r="Z369" i="3"/>
  <c r="AC369" i="3" s="1"/>
  <c r="Z388" i="3"/>
  <c r="AC388" i="3" s="1"/>
  <c r="Z412" i="3"/>
  <c r="AC412" i="3" s="1"/>
  <c r="X420" i="3"/>
  <c r="AC420" i="3" s="1"/>
  <c r="Z425" i="3"/>
  <c r="AC425" i="3" s="1"/>
  <c r="Y425" i="3"/>
  <c r="AA425" i="3" s="1"/>
  <c r="X475" i="3"/>
  <c r="Z475" i="3"/>
  <c r="Z539" i="3"/>
  <c r="Y548" i="3"/>
  <c r="AA548" i="3" s="1"/>
  <c r="Z548" i="3"/>
  <c r="AC548" i="3" s="1"/>
  <c r="Y562" i="3"/>
  <c r="AA562" i="3" s="1"/>
  <c r="Y567" i="3"/>
  <c r="AA567" i="3" s="1"/>
  <c r="Z596" i="3"/>
  <c r="AC596" i="3" s="1"/>
  <c r="Z610" i="3"/>
  <c r="X610" i="3"/>
  <c r="Z663" i="3"/>
  <c r="AC663" i="3" s="1"/>
  <c r="X668" i="3"/>
  <c r="AC668" i="3" s="1"/>
  <c r="Y668" i="3"/>
  <c r="AA668" i="3" s="1"/>
  <c r="X686" i="3"/>
  <c r="Z686" i="3"/>
  <c r="Y686" i="3"/>
  <c r="AA686" i="3" s="1"/>
  <c r="X702" i="3"/>
  <c r="AB702" i="3" s="1"/>
  <c r="Y702" i="3"/>
  <c r="AA702" i="3" s="1"/>
  <c r="Y706" i="3"/>
  <c r="AA706" i="3" s="1"/>
  <c r="X706" i="3"/>
  <c r="AB706" i="3" s="1"/>
  <c r="Z150" i="3"/>
  <c r="AC150" i="3" s="1"/>
  <c r="Z121" i="3"/>
  <c r="AC121" i="3" s="1"/>
  <c r="Z65" i="3"/>
  <c r="AC65" i="3" s="1"/>
  <c r="Y656" i="3"/>
  <c r="AA656" i="3" s="1"/>
  <c r="Y650" i="3"/>
  <c r="AA650" i="3" s="1"/>
  <c r="Y626" i="3"/>
  <c r="AA626" i="3" s="1"/>
  <c r="Y560" i="3"/>
  <c r="AA560" i="3" s="1"/>
  <c r="Y544" i="3"/>
  <c r="AA544" i="3" s="1"/>
  <c r="Y471" i="3"/>
  <c r="AA471" i="3" s="1"/>
  <c r="Y394" i="3"/>
  <c r="AA394" i="3" s="1"/>
  <c r="Y385" i="3"/>
  <c r="AA385" i="3" s="1"/>
  <c r="Y360" i="3"/>
  <c r="AA360" i="3" s="1"/>
  <c r="Y343" i="3"/>
  <c r="AA343" i="3" s="1"/>
  <c r="Y246" i="3"/>
  <c r="AA246" i="3" s="1"/>
  <c r="Y201" i="3"/>
  <c r="AA201" i="3" s="1"/>
  <c r="Y181" i="3"/>
  <c r="AA181" i="3" s="1"/>
  <c r="Y122" i="3"/>
  <c r="AA122" i="3" s="1"/>
  <c r="Y101" i="3"/>
  <c r="AA101" i="3" s="1"/>
  <c r="Y85" i="3"/>
  <c r="AA85" i="3" s="1"/>
  <c r="Y62" i="3"/>
  <c r="AA62" i="3" s="1"/>
  <c r="X648" i="3"/>
  <c r="AC648" i="3" s="1"/>
  <c r="X631" i="3"/>
  <c r="AC631" i="3" s="1"/>
  <c r="X535" i="3"/>
  <c r="X501" i="3"/>
  <c r="AC501" i="3" s="1"/>
  <c r="X471" i="3"/>
  <c r="X457" i="3"/>
  <c r="X380" i="3"/>
  <c r="X368" i="3"/>
  <c r="X360" i="3"/>
  <c r="X271" i="3"/>
  <c r="AC271" i="3" s="1"/>
  <c r="X218" i="3"/>
  <c r="X193" i="3"/>
  <c r="X149" i="3"/>
  <c r="AB149" i="3" s="1"/>
  <c r="X133" i="3"/>
  <c r="Z656" i="3"/>
  <c r="AC656" i="3" s="1"/>
  <c r="Z638" i="3"/>
  <c r="AC638" i="3" s="1"/>
  <c r="Z522" i="3"/>
  <c r="AC522" i="3" s="1"/>
  <c r="Z471" i="3"/>
  <c r="Z461" i="3"/>
  <c r="AC461" i="3" s="1"/>
  <c r="Z448" i="3"/>
  <c r="Z193" i="3"/>
  <c r="Z181" i="3"/>
  <c r="AC181" i="3" s="1"/>
  <c r="Z137" i="3"/>
  <c r="Z122" i="3"/>
  <c r="AC122" i="3" s="1"/>
  <c r="Z97" i="3"/>
  <c r="AC97" i="3" s="1"/>
  <c r="Z73" i="3"/>
  <c r="AC73" i="3" s="1"/>
  <c r="Y643" i="3"/>
  <c r="AA643" i="3" s="1"/>
  <c r="Y638" i="3"/>
  <c r="AA638" i="3" s="1"/>
  <c r="Y539" i="3"/>
  <c r="AA539" i="3" s="1"/>
  <c r="Y526" i="3"/>
  <c r="AA526" i="3" s="1"/>
  <c r="Y522" i="3"/>
  <c r="AA522" i="3" s="1"/>
  <c r="Y501" i="3"/>
  <c r="AA501" i="3" s="1"/>
  <c r="Y461" i="3"/>
  <c r="AA461" i="3" s="1"/>
  <c r="Y271" i="3"/>
  <c r="AA271" i="3" s="1"/>
  <c r="Y241" i="3"/>
  <c r="AA241" i="3" s="1"/>
  <c r="Y226" i="3"/>
  <c r="AA226" i="3" s="1"/>
  <c r="Y149" i="3"/>
  <c r="AA149" i="3" s="1"/>
  <c r="Y133" i="3"/>
  <c r="AA133" i="3" s="1"/>
  <c r="Y118" i="3"/>
  <c r="AA118" i="3" s="1"/>
  <c r="Y34" i="3"/>
  <c r="AA34" i="3" s="1"/>
  <c r="X604" i="3"/>
  <c r="AB604" i="3" s="1"/>
  <c r="X589" i="3"/>
  <c r="X544" i="3"/>
  <c r="X526" i="3"/>
  <c r="X490" i="3"/>
  <c r="AC490" i="3" s="1"/>
  <c r="X394" i="3"/>
  <c r="X309" i="3"/>
  <c r="AC309" i="3" s="1"/>
  <c r="X296" i="3"/>
  <c r="AC296" i="3" s="1"/>
  <c r="X201" i="3"/>
  <c r="AB201" i="3" s="1"/>
  <c r="X118" i="3"/>
  <c r="AC118" i="3" s="1"/>
  <c r="X101" i="3"/>
  <c r="AC101" i="3" s="1"/>
  <c r="X85" i="3"/>
  <c r="X62" i="3"/>
  <c r="AB62" i="3" s="1"/>
  <c r="Z650" i="3"/>
  <c r="Z589" i="3"/>
  <c r="Z544" i="3"/>
  <c r="Z535" i="3"/>
  <c r="Z526" i="3"/>
  <c r="Z457" i="3"/>
  <c r="Z351" i="3"/>
  <c r="Z221" i="3"/>
  <c r="AC221" i="3" s="1"/>
  <c r="Z201" i="3"/>
  <c r="Z133" i="3"/>
  <c r="Z89" i="3"/>
  <c r="AC89" i="3" s="1"/>
  <c r="Z62" i="3"/>
  <c r="X594" i="3"/>
  <c r="AB594" i="3" s="1"/>
  <c r="X608" i="3"/>
  <c r="Y648" i="3"/>
  <c r="AA648" i="3" s="1"/>
  <c r="Y568" i="3"/>
  <c r="AA568" i="3" s="1"/>
  <c r="Y547" i="3"/>
  <c r="AA547" i="3" s="1"/>
  <c r="Y517" i="3"/>
  <c r="AA517" i="3" s="1"/>
  <c r="Y448" i="3"/>
  <c r="AA448" i="3" s="1"/>
  <c r="Y368" i="3"/>
  <c r="AA368" i="3" s="1"/>
  <c r="Y193" i="3"/>
  <c r="AA193" i="3" s="1"/>
  <c r="Y97" i="3"/>
  <c r="AA97" i="3" s="1"/>
  <c r="Y89" i="3"/>
  <c r="AA89" i="3" s="1"/>
  <c r="Y73" i="3"/>
  <c r="AA73" i="3" s="1"/>
  <c r="X650" i="3"/>
  <c r="AC650" i="3" s="1"/>
  <c r="X626" i="3"/>
  <c r="AC626" i="3" s="1"/>
  <c r="X568" i="3"/>
  <c r="X539" i="3"/>
  <c r="AB539" i="3" s="1"/>
  <c r="X448" i="3"/>
  <c r="X241" i="3"/>
  <c r="AC241" i="3" s="1"/>
  <c r="X185" i="3"/>
  <c r="X145" i="3"/>
  <c r="AB145" i="3" s="1"/>
  <c r="X137" i="3"/>
  <c r="Z643" i="3"/>
  <c r="AC643" i="3" s="1"/>
  <c r="Z604" i="3"/>
  <c r="Z594" i="3"/>
  <c r="Z568" i="3"/>
  <c r="Z394" i="3"/>
  <c r="Z380" i="3"/>
  <c r="Z368" i="3"/>
  <c r="Z360" i="3"/>
  <c r="Z185" i="3"/>
  <c r="Z149" i="3"/>
  <c r="Z85" i="3"/>
  <c r="X712" i="3"/>
  <c r="Y594" i="3"/>
  <c r="AA594" i="3" s="1"/>
  <c r="X690" i="3"/>
  <c r="X351" i="3"/>
  <c r="X53" i="3"/>
  <c r="AC53" i="3" s="1"/>
  <c r="X701" i="3"/>
  <c r="X698" i="3"/>
  <c r="AB698" i="3" s="1"/>
  <c r="X710" i="3"/>
  <c r="X692" i="3"/>
  <c r="AB692" i="3" s="1"/>
  <c r="Z161" i="3"/>
  <c r="AC161" i="3" s="1"/>
  <c r="T227" i="3"/>
  <c r="X691" i="3"/>
  <c r="Z24" i="3"/>
  <c r="Y24" i="3"/>
  <c r="AA24" i="3" s="1"/>
  <c r="X28" i="3"/>
  <c r="AB28" i="3" s="1"/>
  <c r="Z211" i="3"/>
  <c r="AC211" i="3" s="1"/>
  <c r="Y211" i="3"/>
  <c r="AA211" i="3" s="1"/>
  <c r="Z283" i="3"/>
  <c r="Y283" i="3"/>
  <c r="AA283" i="3" s="1"/>
  <c r="X283" i="3"/>
  <c r="X322" i="3"/>
  <c r="AC322" i="3" s="1"/>
  <c r="Y322" i="3"/>
  <c r="AA322" i="3" s="1"/>
  <c r="Z383" i="3"/>
  <c r="X383" i="3"/>
  <c r="Z407" i="3"/>
  <c r="X407" i="3"/>
  <c r="AB407" i="3" s="1"/>
  <c r="Y407" i="3"/>
  <c r="AA407" i="3" s="1"/>
  <c r="Z423" i="3"/>
  <c r="X423" i="3"/>
  <c r="Y423" i="3"/>
  <c r="AA423" i="3" s="1"/>
  <c r="Y502" i="3"/>
  <c r="AA502" i="3" s="1"/>
  <c r="Y619" i="3"/>
  <c r="AA619" i="3" s="1"/>
  <c r="Z623" i="3"/>
  <c r="X623" i="3"/>
  <c r="Z268" i="3"/>
  <c r="Y268" i="3"/>
  <c r="AA268" i="3" s="1"/>
  <c r="X268" i="3"/>
  <c r="Y390" i="3"/>
  <c r="AA390" i="3" s="1"/>
  <c r="Z438" i="3"/>
  <c r="X438" i="3"/>
  <c r="X591" i="3"/>
  <c r="Z591" i="3"/>
  <c r="Y591" i="3"/>
  <c r="AA591" i="3" s="1"/>
  <c r="Z655" i="3"/>
  <c r="X655" i="3"/>
  <c r="Z52" i="3"/>
  <c r="AC52" i="3" s="1"/>
  <c r="Z56" i="3"/>
  <c r="X56" i="3"/>
  <c r="X64" i="3"/>
  <c r="AC64" i="3" s="1"/>
  <c r="Y64" i="3"/>
  <c r="AA64" i="3" s="1"/>
  <c r="Y68" i="3"/>
  <c r="AA68" i="3" s="1"/>
  <c r="X76" i="3"/>
  <c r="AC76" i="3" s="1"/>
  <c r="Y76" i="3"/>
  <c r="AA76" i="3" s="1"/>
  <c r="Z83" i="3"/>
  <c r="X83" i="3"/>
  <c r="Z95" i="3"/>
  <c r="X95" i="3"/>
  <c r="Z107" i="3"/>
  <c r="X107" i="3"/>
  <c r="X115" i="3"/>
  <c r="AC115" i="3" s="1"/>
  <c r="Y115" i="3"/>
  <c r="AA115" i="3" s="1"/>
  <c r="Z119" i="3"/>
  <c r="X119" i="3"/>
  <c r="Z131" i="3"/>
  <c r="X131" i="3"/>
  <c r="Z143" i="3"/>
  <c r="X143" i="3"/>
  <c r="Z167" i="3"/>
  <c r="AC167" i="3" s="1"/>
  <c r="Y167" i="3"/>
  <c r="AA167" i="3" s="1"/>
  <c r="Y187" i="3"/>
  <c r="AA187" i="3" s="1"/>
  <c r="X187" i="3"/>
  <c r="AC187" i="3" s="1"/>
  <c r="X209" i="3"/>
  <c r="Y217" i="3"/>
  <c r="AA217" i="3" s="1"/>
  <c r="Z240" i="3"/>
  <c r="X240" i="3"/>
  <c r="Z259" i="3"/>
  <c r="AC259" i="3" s="1"/>
  <c r="Y259" i="3"/>
  <c r="AA259" i="3" s="1"/>
  <c r="Z303" i="3"/>
  <c r="Y303" i="3"/>
  <c r="AA303" i="3" s="1"/>
  <c r="X303" i="3"/>
  <c r="Y386" i="3"/>
  <c r="AA386" i="3" s="1"/>
  <c r="Y402" i="3"/>
  <c r="AA402" i="3" s="1"/>
  <c r="Y418" i="3"/>
  <c r="AA418" i="3" s="1"/>
  <c r="Y442" i="3"/>
  <c r="AA442" i="3" s="1"/>
  <c r="Y450" i="3"/>
  <c r="AA450" i="3" s="1"/>
  <c r="X583" i="3"/>
  <c r="Z583" i="3"/>
  <c r="Z599" i="3"/>
  <c r="X599" i="3"/>
  <c r="Y334" i="3"/>
  <c r="AA334" i="3" s="1"/>
  <c r="AA336" i="3" s="1"/>
  <c r="Y28" i="3"/>
  <c r="AA28" i="3" s="1"/>
  <c r="Y634" i="3"/>
  <c r="AA634" i="3" s="1"/>
  <c r="Y698" i="3"/>
  <c r="AA698" i="3" s="1"/>
  <c r="Y630" i="3"/>
  <c r="AA630" i="3" s="1"/>
  <c r="Y499" i="3"/>
  <c r="AA499" i="3" s="1"/>
  <c r="Y474" i="3"/>
  <c r="AA474" i="3" s="1"/>
  <c r="Y382" i="3"/>
  <c r="AA382" i="3" s="1"/>
  <c r="Y306" i="3"/>
  <c r="AA306" i="3" s="1"/>
  <c r="Y286" i="3"/>
  <c r="AA286" i="3" s="1"/>
  <c r="Y40" i="3"/>
  <c r="AA40" i="3" s="1"/>
  <c r="X390" i="3"/>
  <c r="X286" i="3"/>
  <c r="AC286" i="3" s="1"/>
  <c r="Z382" i="3"/>
  <c r="AC382" i="3" s="1"/>
  <c r="Z314" i="3"/>
  <c r="Z28" i="3"/>
  <c r="Z19" i="3"/>
  <c r="Z36" i="3"/>
  <c r="AC36" i="3" s="1"/>
  <c r="Y36" i="3"/>
  <c r="AA36" i="3" s="1"/>
  <c r="Z44" i="3"/>
  <c r="X55" i="3"/>
  <c r="AC55" i="3" s="1"/>
  <c r="Y55" i="3"/>
  <c r="AA55" i="3" s="1"/>
  <c r="Z71" i="3"/>
  <c r="X71" i="3"/>
  <c r="X203" i="3"/>
  <c r="AC203" i="3" s="1"/>
  <c r="Z223" i="3"/>
  <c r="X223" i="3"/>
  <c r="Y223" i="3"/>
  <c r="AA223" i="3" s="1"/>
  <c r="Z391" i="3"/>
  <c r="X391" i="3"/>
  <c r="Y391" i="3"/>
  <c r="AA391" i="3" s="1"/>
  <c r="Z399" i="3"/>
  <c r="X399" i="3"/>
  <c r="Z415" i="3"/>
  <c r="X415" i="3"/>
  <c r="Y431" i="3"/>
  <c r="AA431" i="3" s="1"/>
  <c r="X455" i="3"/>
  <c r="Y455" i="3"/>
  <c r="AA455" i="3" s="1"/>
  <c r="Z455" i="3"/>
  <c r="Y20" i="3"/>
  <c r="AA20" i="3" s="1"/>
  <c r="Z31" i="3"/>
  <c r="AC31" i="3" s="1"/>
  <c r="Y31" i="3"/>
  <c r="AA31" i="3" s="1"/>
  <c r="X43" i="3"/>
  <c r="AC43" i="3" s="1"/>
  <c r="Y43" i="3"/>
  <c r="AA43" i="3" s="1"/>
  <c r="X47" i="3"/>
  <c r="Y47" i="3"/>
  <c r="AA47" i="3" s="1"/>
  <c r="Z206" i="3"/>
  <c r="AC206" i="3" s="1"/>
  <c r="Y206" i="3"/>
  <c r="AA206" i="3" s="1"/>
  <c r="Y406" i="3"/>
  <c r="AA406" i="3" s="1"/>
  <c r="Y422" i="3"/>
  <c r="AA422" i="3" s="1"/>
  <c r="X446" i="3"/>
  <c r="AC446" i="3" s="1"/>
  <c r="Y446" i="3"/>
  <c r="AA446" i="3" s="1"/>
  <c r="X495" i="3"/>
  <c r="AC495" i="3" s="1"/>
  <c r="Y607" i="3"/>
  <c r="AA607" i="3" s="1"/>
  <c r="Z694" i="3"/>
  <c r="Z16" i="3"/>
  <c r="AC16" i="3" s="1"/>
  <c r="X19" i="3"/>
  <c r="AC19" i="3" s="1"/>
  <c r="Y19" i="3"/>
  <c r="AA19" i="3" s="1"/>
  <c r="Y80" i="3"/>
  <c r="AA80" i="3" s="1"/>
  <c r="X88" i="3"/>
  <c r="AC88" i="3" s="1"/>
  <c r="Y88" i="3"/>
  <c r="AA88" i="3" s="1"/>
  <c r="Y92" i="3"/>
  <c r="AA92" i="3" s="1"/>
  <c r="X100" i="3"/>
  <c r="AC100" i="3" s="1"/>
  <c r="Y100" i="3"/>
  <c r="AA100" i="3" s="1"/>
  <c r="Y104" i="3"/>
  <c r="AA104" i="3" s="1"/>
  <c r="Z112" i="3"/>
  <c r="AC112" i="3" s="1"/>
  <c r="Z116" i="3"/>
  <c r="X116" i="3"/>
  <c r="X124" i="3"/>
  <c r="AC124" i="3" s="1"/>
  <c r="Y124" i="3"/>
  <c r="AA124" i="3" s="1"/>
  <c r="Y128" i="3"/>
  <c r="AA128" i="3" s="1"/>
  <c r="X136" i="3"/>
  <c r="AC136" i="3" s="1"/>
  <c r="Y136" i="3"/>
  <c r="AA136" i="3" s="1"/>
  <c r="Y140" i="3"/>
  <c r="AA140" i="3" s="1"/>
  <c r="T148" i="3"/>
  <c r="V148" i="3" s="1"/>
  <c r="X148" i="3"/>
  <c r="AC148" i="3" s="1"/>
  <c r="Y148" i="3"/>
  <c r="AA148" i="3" s="1"/>
  <c r="Y152" i="3"/>
  <c r="AA152" i="3" s="1"/>
  <c r="Y156" i="3"/>
  <c r="AA156" i="3" s="1"/>
  <c r="Y160" i="3"/>
  <c r="AA160" i="3" s="1"/>
  <c r="Y172" i="3"/>
  <c r="AA172" i="3" s="1"/>
  <c r="Y176" i="3"/>
  <c r="AA176" i="3" s="1"/>
  <c r="Z184" i="3"/>
  <c r="AC184" i="3" s="1"/>
  <c r="Y188" i="3"/>
  <c r="AA188" i="3" s="1"/>
  <c r="Y196" i="3"/>
  <c r="AA196" i="3" s="1"/>
  <c r="Y200" i="3"/>
  <c r="AA200" i="3" s="1"/>
  <c r="X256" i="3"/>
  <c r="AC256" i="3" s="1"/>
  <c r="Z379" i="3"/>
  <c r="X379" i="3"/>
  <c r="Y379" i="3"/>
  <c r="AA379" i="3" s="1"/>
  <c r="Y427" i="3"/>
  <c r="AA427" i="3" s="1"/>
  <c r="Z451" i="3"/>
  <c r="AC451" i="3" s="1"/>
  <c r="Y451" i="3"/>
  <c r="AA451" i="3" s="1"/>
  <c r="X514" i="3"/>
  <c r="AC514" i="3" s="1"/>
  <c r="Y514" i="3"/>
  <c r="AA514" i="3" s="1"/>
  <c r="X534" i="3"/>
  <c r="AC534" i="3" s="1"/>
  <c r="Y534" i="3"/>
  <c r="AA534" i="3" s="1"/>
  <c r="X538" i="3"/>
  <c r="AB538" i="3" s="1"/>
  <c r="Y538" i="3"/>
  <c r="AA538" i="3" s="1"/>
  <c r="Z538" i="3"/>
  <c r="X550" i="3"/>
  <c r="AB550" i="3" s="1"/>
  <c r="Y550" i="3"/>
  <c r="AA550" i="3" s="1"/>
  <c r="Z550" i="3"/>
  <c r="X562" i="3"/>
  <c r="Z562" i="3"/>
  <c r="Z666" i="3"/>
  <c r="X666" i="3"/>
  <c r="Y623" i="3"/>
  <c r="AA623" i="3" s="1"/>
  <c r="Y415" i="3"/>
  <c r="AA415" i="3" s="1"/>
  <c r="Y399" i="3"/>
  <c r="AA399" i="3" s="1"/>
  <c r="X306" i="3"/>
  <c r="AC306" i="3" s="1"/>
  <c r="X24" i="3"/>
  <c r="Z243" i="3"/>
  <c r="Z59" i="3"/>
  <c r="AC59" i="3" s="1"/>
  <c r="Y691" i="3"/>
  <c r="AA691" i="3" s="1"/>
  <c r="Y430" i="3"/>
  <c r="AA430" i="3" s="1"/>
  <c r="Y214" i="3"/>
  <c r="AA214" i="3" s="1"/>
  <c r="Y67" i="3"/>
  <c r="AA67" i="3" s="1"/>
  <c r="Y39" i="3"/>
  <c r="AA39" i="3" s="1"/>
  <c r="X499" i="3"/>
  <c r="AC499" i="3" s="1"/>
  <c r="X314" i="3"/>
  <c r="X243" i="3"/>
  <c r="X226" i="3"/>
  <c r="AC226" i="3" s="1"/>
  <c r="X67" i="3"/>
  <c r="AC67" i="3" s="1"/>
  <c r="X44" i="3"/>
  <c r="Z422" i="3"/>
  <c r="AC422" i="3" s="1"/>
  <c r="Z390" i="3"/>
  <c r="Z27" i="3"/>
  <c r="AC27" i="3" s="1"/>
  <c r="X179" i="3"/>
  <c r="AC179" i="3" s="1"/>
  <c r="Z191" i="3"/>
  <c r="AC191" i="3" s="1"/>
  <c r="Z218" i="3"/>
  <c r="Z230" i="3"/>
  <c r="AC230" i="3" s="1"/>
  <c r="X358" i="3"/>
  <c r="AC358" i="3" s="1"/>
  <c r="X694" i="3"/>
  <c r="Y694" i="3"/>
  <c r="AA694" i="3" s="1"/>
  <c r="X689" i="3"/>
  <c r="Z679" i="3"/>
  <c r="X679" i="3"/>
  <c r="Y608" i="3"/>
  <c r="AA608" i="3" s="1"/>
  <c r="X714" i="3"/>
  <c r="AB714" i="3" s="1"/>
  <c r="AB586" i="3"/>
  <c r="AB560" i="3"/>
  <c r="AB541" i="3"/>
  <c r="AB537" i="3"/>
  <c r="AB486" i="3"/>
  <c r="AB464" i="3"/>
  <c r="AB460" i="3"/>
  <c r="AB451" i="3"/>
  <c r="AB388" i="3"/>
  <c r="AB369" i="3"/>
  <c r="AB343" i="3"/>
  <c r="AB339" i="3"/>
  <c r="AB327" i="3"/>
  <c r="AB319" i="3"/>
  <c r="AB311" i="3"/>
  <c r="AB301" i="3"/>
  <c r="AB291" i="3"/>
  <c r="AB289" i="3"/>
  <c r="AB285" i="3"/>
  <c r="AB278" i="3"/>
  <c r="AB270" i="3"/>
  <c r="AB261" i="3"/>
  <c r="AB253" i="3"/>
  <c r="AB248" i="3"/>
  <c r="AB224" i="3"/>
  <c r="AB220" i="3"/>
  <c r="AB211" i="3"/>
  <c r="AB206" i="3"/>
  <c r="AB184" i="3"/>
  <c r="AB167" i="3"/>
  <c r="AB139" i="3"/>
  <c r="AB127" i="3"/>
  <c r="AB112" i="3"/>
  <c r="AB106" i="3"/>
  <c r="AB97" i="3"/>
  <c r="AB89" i="3"/>
  <c r="AB77" i="3"/>
  <c r="AB73" i="3"/>
  <c r="AB65" i="3"/>
  <c r="AB50" i="3"/>
  <c r="AB46" i="3"/>
  <c r="AB34" i="3"/>
  <c r="AB30" i="3"/>
  <c r="AB13" i="3"/>
  <c r="AB708" i="3"/>
  <c r="AB700" i="3"/>
  <c r="AB696" i="3"/>
  <c r="AB688" i="3"/>
  <c r="AB684" i="3"/>
  <c r="AB659" i="3"/>
  <c r="AB645" i="3"/>
  <c r="AB638" i="3"/>
  <c r="AB633" i="3"/>
  <c r="AB547" i="3"/>
  <c r="AB520" i="3"/>
  <c r="AB505" i="3"/>
  <c r="AB565" i="3"/>
  <c r="AB492" i="3"/>
  <c r="AB461" i="3"/>
  <c r="AB433" i="3"/>
  <c r="AB425" i="3"/>
  <c r="AB412" i="3"/>
  <c r="AB401" i="3"/>
  <c r="AB382" i="3"/>
  <c r="AB371" i="3"/>
  <c r="AB324" i="3"/>
  <c r="AB316" i="3"/>
  <c r="AB308" i="3"/>
  <c r="AB294" i="3"/>
  <c r="AB280" i="3"/>
  <c r="AB264" i="3"/>
  <c r="AB258" i="3"/>
  <c r="AB230" i="3"/>
  <c r="AB221" i="3"/>
  <c r="AB207" i="3"/>
  <c r="AB181" i="3"/>
  <c r="AB152" i="3"/>
  <c r="AB140" i="3"/>
  <c r="AB128" i="3"/>
  <c r="AB113" i="3"/>
  <c r="AB109" i="3"/>
  <c r="AB98" i="3"/>
  <c r="AB94" i="3"/>
  <c r="AB86" i="3"/>
  <c r="AB82" i="3"/>
  <c r="AB74" i="3"/>
  <c r="AB61" i="3"/>
  <c r="AB52" i="3"/>
  <c r="AB36" i="3"/>
  <c r="AB31" i="3"/>
  <c r="AB27" i="3"/>
  <c r="AB22" i="3"/>
  <c r="AB14" i="3"/>
  <c r="AB705" i="3"/>
  <c r="AB697" i="3"/>
  <c r="AB693" i="3"/>
  <c r="AB669" i="3"/>
  <c r="AB665" i="3"/>
  <c r="AB660" i="3"/>
  <c r="AB646" i="3"/>
  <c r="AB642" i="3"/>
  <c r="AB628" i="3"/>
  <c r="AB601" i="3"/>
  <c r="AB581" i="3"/>
  <c r="AB548" i="3"/>
  <c r="AB522" i="3"/>
  <c r="AB512" i="3"/>
  <c r="AB570" i="3"/>
  <c r="AB515" i="3"/>
  <c r="AB484" i="3"/>
  <c r="AB466" i="3"/>
  <c r="AB458" i="3"/>
  <c r="AB422" i="3"/>
  <c r="AB413" i="3"/>
  <c r="AB409" i="3"/>
  <c r="AB404" i="3"/>
  <c r="AB396" i="3"/>
  <c r="AB366" i="3"/>
  <c r="AB345" i="3"/>
  <c r="AB337" i="3"/>
  <c r="AB325" i="3"/>
  <c r="AB321" i="3"/>
  <c r="AB317" i="3"/>
  <c r="AB313" i="3"/>
  <c r="AB299" i="3"/>
  <c r="AB282" i="3"/>
  <c r="AB273" i="3"/>
  <c r="AB259" i="3"/>
  <c r="AB204" i="3"/>
  <c r="AB182" i="3"/>
  <c r="AB173" i="3"/>
  <c r="AB161" i="3"/>
  <c r="AB125" i="3"/>
  <c r="AB121" i="3"/>
  <c r="AB110" i="3"/>
  <c r="AB103" i="3"/>
  <c r="AB91" i="3"/>
  <c r="AB79" i="3"/>
  <c r="AB58" i="3"/>
  <c r="AB37" i="3"/>
  <c r="AB16" i="3"/>
  <c r="AB671" i="3"/>
  <c r="AB662" i="3"/>
  <c r="AB656" i="3"/>
  <c r="AB652" i="3"/>
  <c r="AB643" i="3"/>
  <c r="AB621" i="3"/>
  <c r="AB617" i="3"/>
  <c r="AB602" i="3"/>
  <c r="AB596" i="3"/>
  <c r="AB588" i="3"/>
  <c r="AB575" i="3"/>
  <c r="AB551" i="3"/>
  <c r="AB542" i="3"/>
  <c r="AB507" i="3"/>
  <c r="AB493" i="3"/>
  <c r="AB545" i="3"/>
  <c r="AB532" i="3"/>
  <c r="AB528" i="3"/>
  <c r="AB477" i="3"/>
  <c r="AB469" i="3"/>
  <c r="AB463" i="3"/>
  <c r="AB440" i="3"/>
  <c r="AB431" i="3"/>
  <c r="AB410" i="3"/>
  <c r="AB406" i="3"/>
  <c r="AB393" i="3"/>
  <c r="AB385" i="3"/>
  <c r="AB377" i="3"/>
  <c r="AB363" i="3"/>
  <c r="AB342" i="3"/>
  <c r="AB288" i="3"/>
  <c r="AB276" i="3"/>
  <c r="AB251" i="3"/>
  <c r="AB246" i="3"/>
  <c r="AB175" i="3"/>
  <c r="AB165" i="3"/>
  <c r="AB150" i="3"/>
  <c r="AB146" i="3"/>
  <c r="AB142" i="3"/>
  <c r="AB134" i="3"/>
  <c r="AB130" i="3"/>
  <c r="AB122" i="3"/>
  <c r="AB104" i="3"/>
  <c r="AB92" i="3"/>
  <c r="AB68" i="3"/>
  <c r="AB59" i="3"/>
  <c r="AB49" i="3"/>
  <c r="AB41" i="3"/>
  <c r="AB33" i="3"/>
  <c r="AB25" i="3"/>
  <c r="AB17" i="3"/>
  <c r="AB711" i="3"/>
  <c r="AB707" i="3"/>
  <c r="AB699" i="3"/>
  <c r="AB687" i="3"/>
  <c r="AB681" i="3"/>
  <c r="AB663" i="3"/>
  <c r="AB657" i="3"/>
  <c r="AB653" i="3"/>
  <c r="AB649" i="3"/>
  <c r="AB636" i="3"/>
  <c r="AB577" i="3"/>
  <c r="AB567" i="3"/>
  <c r="AB553" i="3"/>
  <c r="AB517" i="3"/>
  <c r="S350" i="3"/>
  <c r="T350" i="3" s="1"/>
  <c r="R350" i="3"/>
  <c r="F552" i="3"/>
  <c r="F695" i="3"/>
  <c r="F685" i="3"/>
  <c r="F680" i="3"/>
  <c r="F670" i="3"/>
  <c r="F661" i="3"/>
  <c r="F647" i="3"/>
  <c r="W625" i="3"/>
  <c r="Z625" i="3" s="1"/>
  <c r="W624" i="3"/>
  <c r="Z624" i="3" s="1"/>
  <c r="S625" i="3"/>
  <c r="S624" i="3"/>
  <c r="F622" i="3"/>
  <c r="F616" i="3"/>
  <c r="F603" i="3"/>
  <c r="F595" i="3"/>
  <c r="F590" i="3"/>
  <c r="F576" i="3"/>
  <c r="F569" i="3"/>
  <c r="F549" i="3"/>
  <c r="F546" i="3"/>
  <c r="F543" i="3"/>
  <c r="F521" i="3"/>
  <c r="F506" i="3"/>
  <c r="F494" i="3"/>
  <c r="F491" i="3"/>
  <c r="F476" i="3"/>
  <c r="AC238" i="3" l="1"/>
  <c r="AB420" i="3"/>
  <c r="Y336" i="3"/>
  <c r="AB19" i="3"/>
  <c r="AB124" i="3"/>
  <c r="AC243" i="3"/>
  <c r="AC562" i="3"/>
  <c r="AC591" i="3"/>
  <c r="AC415" i="3"/>
  <c r="AC223" i="3"/>
  <c r="AC438" i="3"/>
  <c r="AC583" i="3"/>
  <c r="AC568" i="3"/>
  <c r="AC85" i="3"/>
  <c r="AC526" i="3"/>
  <c r="AC666" i="3"/>
  <c r="AC56" i="3"/>
  <c r="AC383" i="3"/>
  <c r="AB438" i="3"/>
  <c r="AC95" i="3"/>
  <c r="AC655" i="3"/>
  <c r="AC268" i="3"/>
  <c r="AC423" i="3"/>
  <c r="AC380" i="3"/>
  <c r="AC535" i="3"/>
  <c r="AB668" i="3"/>
  <c r="AB399" i="3"/>
  <c r="AC399" i="3"/>
  <c r="AB475" i="3"/>
  <c r="AC475" i="3"/>
  <c r="AC218" i="3"/>
  <c r="AB101" i="3"/>
  <c r="AC24" i="3"/>
  <c r="AC116" i="3"/>
  <c r="AC390" i="3"/>
  <c r="AC623" i="3"/>
  <c r="AC407" i="3"/>
  <c r="AC80" i="3"/>
  <c r="AC44" i="3"/>
  <c r="AC314" i="3"/>
  <c r="AC550" i="3"/>
  <c r="AC379" i="3"/>
  <c r="AC455" i="3"/>
  <c r="AC240" i="3"/>
  <c r="AC143" i="3"/>
  <c r="AC119" i="3"/>
  <c r="AC107" i="3"/>
  <c r="AC83" i="3"/>
  <c r="AC28" i="3"/>
  <c r="AC351" i="3"/>
  <c r="AC145" i="3"/>
  <c r="AC539" i="3"/>
  <c r="AC62" i="3"/>
  <c r="AC201" i="3"/>
  <c r="AC604" i="3"/>
  <c r="AC149" i="3"/>
  <c r="AC360" i="3"/>
  <c r="AC471" i="3"/>
  <c r="AB599" i="3"/>
  <c r="AC599" i="3"/>
  <c r="AB131" i="3"/>
  <c r="AC131" i="3"/>
  <c r="AB608" i="3"/>
  <c r="AB544" i="3"/>
  <c r="AC544" i="3"/>
  <c r="AB193" i="3"/>
  <c r="AC193" i="3"/>
  <c r="AB368" i="3"/>
  <c r="AC368" i="3"/>
  <c r="AB137" i="3"/>
  <c r="AC137" i="3"/>
  <c r="AB589" i="3"/>
  <c r="AC589" i="3"/>
  <c r="AB610" i="3"/>
  <c r="AC71" i="3"/>
  <c r="AC185" i="3"/>
  <c r="AC679" i="3"/>
  <c r="AC694" i="3"/>
  <c r="AC538" i="3"/>
  <c r="AC391" i="3"/>
  <c r="AC303" i="3"/>
  <c r="AC283" i="3"/>
  <c r="AC448" i="3"/>
  <c r="AC594" i="3"/>
  <c r="AC394" i="3"/>
  <c r="AC133" i="3"/>
  <c r="AC457" i="3"/>
  <c r="AC686" i="3"/>
  <c r="AC232" i="3"/>
  <c r="AC213" i="3"/>
  <c r="AB271" i="3"/>
  <c r="AB256" i="3"/>
  <c r="AB226" i="3"/>
  <c r="AB648" i="3"/>
  <c r="AB626" i="3"/>
  <c r="AB583" i="3"/>
  <c r="AB501" i="3"/>
  <c r="AB490" i="3"/>
  <c r="AB309" i="3"/>
  <c r="AB241" i="3"/>
  <c r="AB210" i="3"/>
  <c r="AB55" i="3"/>
  <c r="AB689" i="3"/>
  <c r="AB24" i="3"/>
  <c r="AB534" i="3"/>
  <c r="AB100" i="3"/>
  <c r="AB495" i="3"/>
  <c r="AB351" i="3"/>
  <c r="AB179" i="3"/>
  <c r="AB446" i="3"/>
  <c r="AB415" i="3"/>
  <c r="AB701" i="3"/>
  <c r="AB314" i="3"/>
  <c r="AB306" i="3"/>
  <c r="AB666" i="3"/>
  <c r="AB379" i="3"/>
  <c r="AB136" i="3"/>
  <c r="AB88" i="3"/>
  <c r="AB47" i="3"/>
  <c r="AB203" i="3"/>
  <c r="AB187" i="3"/>
  <c r="AB83" i="3"/>
  <c r="AB64" i="3"/>
  <c r="AB591" i="3"/>
  <c r="AB76" i="3"/>
  <c r="AB562" i="3"/>
  <c r="AB526" i="3"/>
  <c r="AB232" i="3"/>
  <c r="AB296" i="3"/>
  <c r="AB631" i="3"/>
  <c r="AB686" i="3"/>
  <c r="AB53" i="3"/>
  <c r="AB115" i="3"/>
  <c r="AB133" i="3"/>
  <c r="AB209" i="3"/>
  <c r="AB268" i="3"/>
  <c r="AB383" i="3"/>
  <c r="AB623" i="3"/>
  <c r="AB185" i="3"/>
  <c r="AB365" i="3"/>
  <c r="AB457" i="3"/>
  <c r="AB471" i="3"/>
  <c r="AB568" i="3"/>
  <c r="AB286" i="3"/>
  <c r="AB358" i="3"/>
  <c r="AB43" i="3"/>
  <c r="AB455" i="3"/>
  <c r="AB694" i="3"/>
  <c r="AB67" i="3"/>
  <c r="AB514" i="3"/>
  <c r="AB391" i="3"/>
  <c r="AB223" i="3"/>
  <c r="AB240" i="3"/>
  <c r="AB712" i="3"/>
  <c r="AB448" i="3"/>
  <c r="AB650" i="3"/>
  <c r="AB118" i="3"/>
  <c r="AB394" i="3"/>
  <c r="AB218" i="3"/>
  <c r="AB380" i="3"/>
  <c r="AB535" i="3"/>
  <c r="AB353" i="3"/>
  <c r="AB85" i="3"/>
  <c r="AB691" i="3"/>
  <c r="AB283" i="3"/>
  <c r="AB322" i="3"/>
  <c r="AB423" i="3"/>
  <c r="AB690" i="3"/>
  <c r="AB95" i="3"/>
  <c r="AB303" i="3"/>
  <c r="AB360" i="3"/>
  <c r="AB655" i="3"/>
  <c r="AB70" i="3"/>
  <c r="AB148" i="3"/>
  <c r="AB340" i="3"/>
  <c r="AB56" i="3"/>
  <c r="AB243" i="3"/>
  <c r="V350" i="3"/>
  <c r="AB710" i="3"/>
  <c r="AB44" i="3"/>
  <c r="AB390" i="3"/>
  <c r="AB71" i="3"/>
  <c r="AB116" i="3"/>
  <c r="AB107" i="3"/>
  <c r="AB119" i="3"/>
  <c r="AB143" i="3"/>
  <c r="AB499" i="3"/>
  <c r="AB679" i="3"/>
  <c r="Z608" i="3"/>
  <c r="AC608" i="3" s="1"/>
  <c r="X487" i="3"/>
  <c r="X497" i="3"/>
  <c r="AB497" i="3" s="1"/>
  <c r="X502" i="3"/>
  <c r="AB502" i="3" s="1"/>
  <c r="X524" i="3"/>
  <c r="AB524" i="3" s="1"/>
  <c r="X529" i="3"/>
  <c r="AB529" i="3" s="1"/>
  <c r="X572" i="3"/>
  <c r="AB572" i="3" s="1"/>
  <c r="X578" i="3"/>
  <c r="AB578" i="3" s="1"/>
  <c r="X675" i="3"/>
  <c r="X480" i="3"/>
  <c r="X496" i="3"/>
  <c r="AB496" i="3" s="1"/>
  <c r="X508" i="3"/>
  <c r="AB508" i="3" s="1"/>
  <c r="X523" i="3"/>
  <c r="AB523" i="3" s="1"/>
  <c r="X571" i="3"/>
  <c r="X605" i="3"/>
  <c r="AB605" i="3" s="1"/>
  <c r="X613" i="3"/>
  <c r="AB613" i="3" s="1"/>
  <c r="X619" i="3"/>
  <c r="AB619" i="3" s="1"/>
  <c r="X624" i="3"/>
  <c r="AB624" i="3" s="1"/>
  <c r="X674" i="3"/>
  <c r="X678" i="3"/>
  <c r="W350" i="3"/>
  <c r="Z350" i="3" s="1"/>
  <c r="X348" i="3"/>
  <c r="AB348" i="3" s="1"/>
  <c r="X481" i="3"/>
  <c r="AB481" i="3" s="1"/>
  <c r="X614" i="3"/>
  <c r="X620" i="3"/>
  <c r="X625" i="3"/>
  <c r="AB625" i="3" s="1"/>
  <c r="X347" i="3"/>
  <c r="AB347" i="3" s="1"/>
  <c r="X483" i="3"/>
  <c r="AB483" i="3" s="1"/>
  <c r="X489" i="3"/>
  <c r="X504" i="3"/>
  <c r="X511" i="3"/>
  <c r="AB511" i="3" s="1"/>
  <c r="X531" i="3"/>
  <c r="X574" i="3"/>
  <c r="AB574" i="3" s="1"/>
  <c r="X580" i="3"/>
  <c r="AB580" i="3" s="1"/>
  <c r="X612" i="3"/>
  <c r="X618" i="3"/>
  <c r="AB618" i="3" s="1"/>
  <c r="X673" i="3"/>
  <c r="X677" i="3"/>
  <c r="X349" i="3"/>
  <c r="X509" i="3"/>
  <c r="X606" i="3"/>
  <c r="AB606" i="3" s="1"/>
  <c r="X346" i="3"/>
  <c r="AB346" i="3" s="1"/>
  <c r="X479" i="3"/>
  <c r="X478" i="3"/>
  <c r="X482" i="3"/>
  <c r="X488" i="3"/>
  <c r="X498" i="3"/>
  <c r="X503" i="3"/>
  <c r="X510" i="3"/>
  <c r="AB510" i="3" s="1"/>
  <c r="X525" i="3"/>
  <c r="AB525" i="3" s="1"/>
  <c r="X530" i="3"/>
  <c r="X573" i="3"/>
  <c r="AB573" i="3" s="1"/>
  <c r="X579" i="3"/>
  <c r="X607" i="3"/>
  <c r="AB607" i="3" s="1"/>
  <c r="X615" i="3"/>
  <c r="X672" i="3"/>
  <c r="X676" i="3"/>
  <c r="X350" i="3"/>
  <c r="F465" i="3"/>
  <c r="F447" i="3"/>
  <c r="F439" i="3"/>
  <c r="F432" i="3"/>
  <c r="F424" i="3"/>
  <c r="F414" i="3"/>
  <c r="F400" i="3"/>
  <c r="F392" i="3"/>
  <c r="F326" i="3"/>
  <c r="F389" i="3"/>
  <c r="F384" i="3"/>
  <c r="F381" i="3"/>
  <c r="F370" i="3"/>
  <c r="F359" i="3"/>
  <c r="F352" i="3"/>
  <c r="F344" i="3"/>
  <c r="F290" i="3"/>
  <c r="F272" i="3"/>
  <c r="F265" i="3"/>
  <c r="F260" i="3"/>
  <c r="R229" i="3"/>
  <c r="R228" i="3"/>
  <c r="R227" i="3"/>
  <c r="F222" i="3"/>
  <c r="F219" i="3"/>
  <c r="F192" i="3"/>
  <c r="F186" i="3"/>
  <c r="F166" i="3"/>
  <c r="F129" i="3"/>
  <c r="F126" i="3"/>
  <c r="F117" i="3"/>
  <c r="F102" i="3"/>
  <c r="F12" i="3"/>
  <c r="F15" i="3"/>
  <c r="F23" i="3"/>
  <c r="F26" i="3"/>
  <c r="F29" i="3"/>
  <c r="F32" i="3"/>
  <c r="F35" i="3"/>
  <c r="F42" i="3"/>
  <c r="F48" i="3"/>
  <c r="F51" i="3"/>
  <c r="F54" i="3"/>
  <c r="F57" i="3"/>
  <c r="F60" i="3"/>
  <c r="F63" i="3"/>
  <c r="F66" i="3"/>
  <c r="F69" i="3"/>
  <c r="F72" i="3"/>
  <c r="F75" i="3"/>
  <c r="F78" i="3"/>
  <c r="F452" i="3"/>
  <c r="F231" i="3"/>
  <c r="AC350" i="3" l="1"/>
  <c r="AB678" i="3"/>
  <c r="AB672" i="3"/>
  <c r="AB675" i="3"/>
  <c r="AB674" i="3"/>
  <c r="W229" i="3"/>
  <c r="Z229" i="3" s="1"/>
  <c r="V229" i="3"/>
  <c r="V228" i="3"/>
  <c r="W228" i="3"/>
  <c r="Z228" i="3" s="1"/>
  <c r="V227" i="3"/>
  <c r="W227" i="3"/>
  <c r="Z227" i="3" s="1"/>
  <c r="Z337" i="3"/>
  <c r="AC337" i="3" s="1"/>
  <c r="AB482" i="3"/>
  <c r="AB487" i="3"/>
  <c r="AB579" i="3"/>
  <c r="AB676" i="3"/>
  <c r="AB488" i="3"/>
  <c r="AB479" i="3"/>
  <c r="AB480" i="3"/>
  <c r="AB531" i="3"/>
  <c r="AB620" i="3"/>
  <c r="AB673" i="3"/>
  <c r="AB614" i="3"/>
  <c r="X189" i="3"/>
  <c r="X227" i="3"/>
  <c r="AB227" i="3" s="1"/>
  <c r="X356" i="3"/>
  <c r="X333" i="3"/>
  <c r="X416" i="3"/>
  <c r="X442" i="3"/>
  <c r="AB442" i="3" s="1"/>
  <c r="X155" i="3"/>
  <c r="X159" i="3"/>
  <c r="AB159" i="3" s="1"/>
  <c r="X178" i="3"/>
  <c r="AB178" i="3" s="1"/>
  <c r="X188" i="3"/>
  <c r="AB188" i="3" s="1"/>
  <c r="X196" i="3"/>
  <c r="AB196" i="3" s="1"/>
  <c r="X200" i="3"/>
  <c r="AB200" i="3" s="1"/>
  <c r="X214" i="3"/>
  <c r="X235" i="3"/>
  <c r="AB235" i="3" s="1"/>
  <c r="X250" i="3"/>
  <c r="AB250" i="3" s="1"/>
  <c r="X355" i="3"/>
  <c r="AB355" i="3" s="1"/>
  <c r="X374" i="3"/>
  <c r="AB374" i="3" s="1"/>
  <c r="X328" i="3"/>
  <c r="X332" i="3"/>
  <c r="X419" i="3"/>
  <c r="AB419" i="3" s="1"/>
  <c r="X426" i="3"/>
  <c r="X430" i="3"/>
  <c r="AB430" i="3" s="1"/>
  <c r="X436" i="3"/>
  <c r="AB436" i="3" s="1"/>
  <c r="X441" i="3"/>
  <c r="AB441" i="3" s="1"/>
  <c r="X445" i="3"/>
  <c r="AB615" i="3"/>
  <c r="AB530" i="3"/>
  <c r="AB498" i="3"/>
  <c r="AB612" i="3"/>
  <c r="AB489" i="3"/>
  <c r="AB571" i="3"/>
  <c r="X156" i="3"/>
  <c r="AB156" i="3" s="1"/>
  <c r="X236" i="3"/>
  <c r="AB236" i="3" s="1"/>
  <c r="X329" i="3"/>
  <c r="X427" i="3"/>
  <c r="X154" i="3"/>
  <c r="AB154" i="3" s="1"/>
  <c r="X158" i="3"/>
  <c r="AB158" i="3" s="1"/>
  <c r="X177" i="3"/>
  <c r="X195" i="3"/>
  <c r="AB195" i="3" s="1"/>
  <c r="X199" i="3"/>
  <c r="X217" i="3"/>
  <c r="X229" i="3"/>
  <c r="X233" i="3"/>
  <c r="AB233" i="3" s="1"/>
  <c r="X249" i="3"/>
  <c r="AB249" i="3" s="1"/>
  <c r="X354" i="3"/>
  <c r="AB354" i="3" s="1"/>
  <c r="X373" i="3"/>
  <c r="AB373" i="3" s="1"/>
  <c r="X331" i="3"/>
  <c r="X335" i="3"/>
  <c r="X418" i="3"/>
  <c r="AB418" i="3" s="1"/>
  <c r="X429" i="3"/>
  <c r="X435" i="3"/>
  <c r="AB435" i="3" s="1"/>
  <c r="X444" i="3"/>
  <c r="AB444" i="3" s="1"/>
  <c r="AB350" i="3"/>
  <c r="AB503" i="3"/>
  <c r="AB478" i="3"/>
  <c r="AB509" i="3"/>
  <c r="AB349" i="3"/>
  <c r="AB677" i="3"/>
  <c r="AB504" i="3"/>
  <c r="X160" i="3"/>
  <c r="X197" i="3"/>
  <c r="AB197" i="3" s="1"/>
  <c r="X215" i="3"/>
  <c r="X244" i="3"/>
  <c r="X254" i="3"/>
  <c r="X375" i="3"/>
  <c r="X437" i="3"/>
  <c r="X153" i="3"/>
  <c r="AB153" i="3" s="1"/>
  <c r="X157" i="3"/>
  <c r="AB157" i="3" s="1"/>
  <c r="X176" i="3"/>
  <c r="X190" i="3"/>
  <c r="X194" i="3"/>
  <c r="X198" i="3"/>
  <c r="X216" i="3"/>
  <c r="X228" i="3"/>
  <c r="X237" i="3"/>
  <c r="AB237" i="3" s="1"/>
  <c r="X245" i="3"/>
  <c r="X255" i="3"/>
  <c r="X357" i="3"/>
  <c r="X372" i="3"/>
  <c r="AB372" i="3" s="1"/>
  <c r="X376" i="3"/>
  <c r="X330" i="3"/>
  <c r="X334" i="3"/>
  <c r="X417" i="3"/>
  <c r="AB417" i="3" s="1"/>
  <c r="X428" i="3"/>
  <c r="AB428" i="3" s="1"/>
  <c r="X434" i="3"/>
  <c r="AB434" i="3" s="1"/>
  <c r="X443" i="3"/>
  <c r="F208" i="3"/>
  <c r="F170" i="3"/>
  <c r="H81" i="3"/>
  <c r="R81" i="3" s="1"/>
  <c r="I81" i="3"/>
  <c r="J81" i="3"/>
  <c r="U81" i="3" s="1"/>
  <c r="F38" i="3"/>
  <c r="Z27" i="4"/>
  <c r="Z26" i="4"/>
  <c r="Z24" i="4"/>
  <c r="Z21" i="4"/>
  <c r="U19" i="4"/>
  <c r="X21" i="4"/>
  <c r="W21" i="4"/>
  <c r="V21" i="4"/>
  <c r="U15" i="4"/>
  <c r="R21" i="6"/>
  <c r="S21" i="6"/>
  <c r="R20" i="6"/>
  <c r="S20" i="6"/>
  <c r="R19" i="6"/>
  <c r="S19" i="6"/>
  <c r="Q21" i="6"/>
  <c r="Q20" i="6"/>
  <c r="Q19" i="6"/>
  <c r="R50" i="5"/>
  <c r="S50" i="5"/>
  <c r="Q50" i="5"/>
  <c r="T49" i="5"/>
  <c r="T50" i="5" s="1"/>
  <c r="A49" i="5"/>
  <c r="W48" i="4"/>
  <c r="X48" i="4"/>
  <c r="U43" i="4"/>
  <c r="U33" i="4"/>
  <c r="U30" i="4"/>
  <c r="U34" i="4" s="1"/>
  <c r="U35" i="4" s="1"/>
  <c r="V27" i="4"/>
  <c r="V22" i="4"/>
  <c r="V23" i="4" s="1"/>
  <c r="W22" i="4"/>
  <c r="W37" i="4" s="1"/>
  <c r="U22" i="4"/>
  <c r="U37" i="4" s="1"/>
  <c r="V17" i="4"/>
  <c r="W17" i="4"/>
  <c r="Y17" i="4"/>
  <c r="U17" i="4"/>
  <c r="Q8" i="7"/>
  <c r="Q9" i="7"/>
  <c r="Q10" i="7"/>
  <c r="Q11" i="7"/>
  <c r="Q7" i="7"/>
  <c r="Q709" i="3"/>
  <c r="T13" i="6"/>
  <c r="T21" i="6" s="1"/>
  <c r="T14" i="6"/>
  <c r="T8" i="6"/>
  <c r="T9" i="6"/>
  <c r="T20" i="6" s="1"/>
  <c r="T10" i="6"/>
  <c r="T11" i="6"/>
  <c r="T16" i="6"/>
  <c r="T7" i="6"/>
  <c r="T19" i="6" s="1"/>
  <c r="T8" i="4"/>
  <c r="T9" i="4"/>
  <c r="T11" i="4"/>
  <c r="T12" i="4"/>
  <c r="T13" i="4"/>
  <c r="T14" i="4"/>
  <c r="T15" i="4"/>
  <c r="T16" i="4"/>
  <c r="X17" i="4" s="1"/>
  <c r="T17" i="4"/>
  <c r="T18" i="4"/>
  <c r="T19" i="4"/>
  <c r="T20" i="4"/>
  <c r="T21" i="4"/>
  <c r="T22" i="4"/>
  <c r="X22" i="4" s="1"/>
  <c r="X23" i="4" s="1"/>
  <c r="T23" i="4"/>
  <c r="T24" i="4"/>
  <c r="X24" i="4" s="1"/>
  <c r="T25" i="4"/>
  <c r="T26" i="4"/>
  <c r="X37" i="4" s="1"/>
  <c r="T27" i="4"/>
  <c r="X27" i="4" s="1"/>
  <c r="T28" i="4"/>
  <c r="X28" i="4" s="1"/>
  <c r="T29" i="4"/>
  <c r="T30" i="4"/>
  <c r="T31" i="4"/>
  <c r="T32" i="4"/>
  <c r="T33" i="4"/>
  <c r="T34" i="4"/>
  <c r="T7" i="4"/>
  <c r="T38" i="5"/>
  <c r="T39" i="5"/>
  <c r="T40" i="5"/>
  <c r="T41" i="5"/>
  <c r="T42" i="5"/>
  <c r="T36" i="5"/>
  <c r="T37" i="5"/>
  <c r="T30" i="5"/>
  <c r="T32" i="5"/>
  <c r="T33" i="5"/>
  <c r="T23" i="5"/>
  <c r="T24" i="5"/>
  <c r="T25" i="5"/>
  <c r="T14" i="5"/>
  <c r="T15" i="5"/>
  <c r="T16" i="5"/>
  <c r="T17" i="5"/>
  <c r="T22" i="5"/>
  <c r="T13" i="5"/>
  <c r="T8" i="5"/>
  <c r="A15" i="3"/>
  <c r="A18" i="3" s="1"/>
  <c r="A23" i="3" s="1"/>
  <c r="A26" i="3" s="1"/>
  <c r="A29" i="3" s="1"/>
  <c r="A32" i="3" s="1"/>
  <c r="A35" i="3" s="1"/>
  <c r="A38" i="3" s="1"/>
  <c r="A42" i="3" s="1"/>
  <c r="A45" i="3" s="1"/>
  <c r="A48" i="3" s="1"/>
  <c r="A51" i="3" s="1"/>
  <c r="A54" i="3" s="1"/>
  <c r="A57" i="3" s="1"/>
  <c r="A60" i="3" s="1"/>
  <c r="R99" i="2"/>
  <c r="S99" i="2"/>
  <c r="O51" i="3"/>
  <c r="P51" i="3"/>
  <c r="N51" i="3"/>
  <c r="K29" i="3"/>
  <c r="L29" i="3"/>
  <c r="M29" i="3"/>
  <c r="N29" i="3"/>
  <c r="O29" i="3"/>
  <c r="P29" i="3"/>
  <c r="Q29" i="3"/>
  <c r="K26" i="3"/>
  <c r="L26" i="3"/>
  <c r="M26" i="3"/>
  <c r="Q26" i="3"/>
  <c r="K23" i="3"/>
  <c r="L23" i="3"/>
  <c r="M23" i="3"/>
  <c r="Q23" i="3"/>
  <c r="K18" i="3"/>
  <c r="L18" i="3"/>
  <c r="M18" i="3"/>
  <c r="Q18" i="3"/>
  <c r="K15" i="3"/>
  <c r="L15" i="3"/>
  <c r="M15" i="3"/>
  <c r="N15" i="3"/>
  <c r="O15" i="3"/>
  <c r="P15" i="3"/>
  <c r="Q15" i="3"/>
  <c r="J15" i="3"/>
  <c r="J18" i="3"/>
  <c r="U18" i="3" s="1"/>
  <c r="J23" i="3"/>
  <c r="U23" i="3" s="1"/>
  <c r="J26" i="3"/>
  <c r="U26" i="3" s="1"/>
  <c r="J29" i="3"/>
  <c r="J32" i="3"/>
  <c r="U32" i="3" s="1"/>
  <c r="J35" i="3"/>
  <c r="U35" i="3" s="1"/>
  <c r="J38" i="3"/>
  <c r="U38" i="3" s="1"/>
  <c r="J42" i="3"/>
  <c r="U42" i="3" s="1"/>
  <c r="J45" i="3"/>
  <c r="U45" i="3" s="1"/>
  <c r="J48" i="3"/>
  <c r="U48" i="3" s="1"/>
  <c r="J51" i="3"/>
  <c r="J54" i="3"/>
  <c r="U54" i="3" s="1"/>
  <c r="J57" i="3"/>
  <c r="U57" i="3" s="1"/>
  <c r="J60" i="3"/>
  <c r="U60" i="3" s="1"/>
  <c r="J63" i="3"/>
  <c r="U63" i="3" s="1"/>
  <c r="J66" i="3"/>
  <c r="U66" i="3" s="1"/>
  <c r="J69" i="3"/>
  <c r="U69" i="3" s="1"/>
  <c r="J72" i="3"/>
  <c r="U72" i="3" s="1"/>
  <c r="J75" i="3"/>
  <c r="U75" i="3" s="1"/>
  <c r="J78" i="3"/>
  <c r="U78" i="3" s="1"/>
  <c r="J84" i="3"/>
  <c r="U84" i="3" s="1"/>
  <c r="J87" i="3"/>
  <c r="U87" i="3" s="1"/>
  <c r="J90" i="3"/>
  <c r="U90" i="3" s="1"/>
  <c r="J93" i="3"/>
  <c r="U93" i="3" s="1"/>
  <c r="J96" i="3"/>
  <c r="U96" i="3" s="1"/>
  <c r="J99" i="3"/>
  <c r="U99" i="3" s="1"/>
  <c r="J102" i="3"/>
  <c r="U102" i="3" s="1"/>
  <c r="J105" i="3"/>
  <c r="U105" i="3" s="1"/>
  <c r="J108" i="3"/>
  <c r="U108" i="3" s="1"/>
  <c r="J111" i="3"/>
  <c r="U111" i="3" s="1"/>
  <c r="J114" i="3"/>
  <c r="U114" i="3" s="1"/>
  <c r="J117" i="3"/>
  <c r="U117" i="3" s="1"/>
  <c r="J120" i="3"/>
  <c r="U120" i="3" s="1"/>
  <c r="J123" i="3"/>
  <c r="U123" i="3" s="1"/>
  <c r="J126" i="3"/>
  <c r="U126" i="3" s="1"/>
  <c r="J129" i="3"/>
  <c r="U129" i="3" s="1"/>
  <c r="J132" i="3"/>
  <c r="U132" i="3" s="1"/>
  <c r="J135" i="3"/>
  <c r="U135" i="3" s="1"/>
  <c r="J138" i="3"/>
  <c r="U138" i="3" s="1"/>
  <c r="J141" i="3"/>
  <c r="U141" i="3" s="1"/>
  <c r="J144" i="3"/>
  <c r="J147" i="3"/>
  <c r="U147" i="3" s="1"/>
  <c r="J151" i="3"/>
  <c r="U151" i="3" s="1"/>
  <c r="J162" i="3"/>
  <c r="U162" i="3" s="1"/>
  <c r="J166" i="3"/>
  <c r="U166" i="3" s="1"/>
  <c r="J170" i="3"/>
  <c r="U170" i="3" s="1"/>
  <c r="J174" i="3"/>
  <c r="U174" i="3" s="1"/>
  <c r="J180" i="3"/>
  <c r="U180" i="3" s="1"/>
  <c r="J183" i="3"/>
  <c r="U183" i="3" s="1"/>
  <c r="J186" i="3"/>
  <c r="U186" i="3" s="1"/>
  <c r="J192" i="3"/>
  <c r="U192" i="3" s="1"/>
  <c r="J202" i="3"/>
  <c r="U202" i="3" s="1"/>
  <c r="J205" i="3"/>
  <c r="U205" i="3" s="1"/>
  <c r="J208" i="3"/>
  <c r="U208" i="3" s="1"/>
  <c r="J212" i="3"/>
  <c r="U212" i="3" s="1"/>
  <c r="J219" i="3"/>
  <c r="U219" i="3" s="1"/>
  <c r="J222" i="3"/>
  <c r="U222" i="3" s="1"/>
  <c r="J225" i="3"/>
  <c r="U225" i="3" s="1"/>
  <c r="J231" i="3"/>
  <c r="U231" i="3" s="1"/>
  <c r="J239" i="3"/>
  <c r="U239" i="3" s="1"/>
  <c r="J242" i="3"/>
  <c r="U242" i="3" s="1"/>
  <c r="J247" i="3"/>
  <c r="U247" i="3" s="1"/>
  <c r="J257" i="3"/>
  <c r="U257" i="3" s="1"/>
  <c r="J260" i="3"/>
  <c r="U260" i="3" s="1"/>
  <c r="J265" i="3"/>
  <c r="U265" i="3" s="1"/>
  <c r="J269" i="3"/>
  <c r="U269" i="3" s="1"/>
  <c r="J272" i="3"/>
  <c r="U272" i="3" s="1"/>
  <c r="J277" i="3"/>
  <c r="U277" i="3" s="1"/>
  <c r="J281" i="3"/>
  <c r="U281" i="3" s="1"/>
  <c r="J284" i="3"/>
  <c r="U284" i="3" s="1"/>
  <c r="J287" i="3"/>
  <c r="U287" i="3" s="1"/>
  <c r="J290" i="3"/>
  <c r="U290" i="3" s="1"/>
  <c r="J295" i="3"/>
  <c r="U295" i="3" s="1"/>
  <c r="J300" i="3"/>
  <c r="U300" i="3" s="1"/>
  <c r="J302" i="3"/>
  <c r="U302" i="3" s="1"/>
  <c r="J307" i="3"/>
  <c r="J310" i="3"/>
  <c r="J312" i="3"/>
  <c r="J315" i="3"/>
  <c r="J318" i="3"/>
  <c r="J320" i="3"/>
  <c r="U320" i="3" s="1"/>
  <c r="J323" i="3"/>
  <c r="J326" i="3"/>
  <c r="U326" i="3" s="1"/>
  <c r="J338" i="3"/>
  <c r="U338" i="3" s="1"/>
  <c r="J341" i="3"/>
  <c r="U341" i="3" s="1"/>
  <c r="J344" i="3"/>
  <c r="U344" i="3" s="1"/>
  <c r="J352" i="3"/>
  <c r="U352" i="3" s="1"/>
  <c r="J359" i="3"/>
  <c r="U359" i="3" s="1"/>
  <c r="J364" i="3"/>
  <c r="U364" i="3" s="1"/>
  <c r="J367" i="3"/>
  <c r="U367" i="3" s="1"/>
  <c r="J370" i="3"/>
  <c r="U370" i="3" s="1"/>
  <c r="J378" i="3"/>
  <c r="U378" i="3" s="1"/>
  <c r="J381" i="3"/>
  <c r="U381" i="3" s="1"/>
  <c r="J384" i="3"/>
  <c r="U384" i="3" s="1"/>
  <c r="J389" i="3"/>
  <c r="U389" i="3" s="1"/>
  <c r="J392" i="3"/>
  <c r="U392" i="3" s="1"/>
  <c r="J395" i="3"/>
  <c r="U395" i="3" s="1"/>
  <c r="J400" i="3"/>
  <c r="U400" i="3" s="1"/>
  <c r="J405" i="3"/>
  <c r="U405" i="3" s="1"/>
  <c r="J408" i="3"/>
  <c r="U408" i="3" s="1"/>
  <c r="J411" i="3"/>
  <c r="U411" i="3" s="1"/>
  <c r="J414" i="3"/>
  <c r="U414" i="3" s="1"/>
  <c r="J421" i="3"/>
  <c r="U421" i="3" s="1"/>
  <c r="J424" i="3"/>
  <c r="U424" i="3" s="1"/>
  <c r="J432" i="3"/>
  <c r="U432" i="3" s="1"/>
  <c r="J439" i="3"/>
  <c r="U439" i="3" s="1"/>
  <c r="J447" i="3"/>
  <c r="U447" i="3" s="1"/>
  <c r="J452" i="3"/>
  <c r="U452" i="3" s="1"/>
  <c r="J456" i="3"/>
  <c r="U456" i="3" s="1"/>
  <c r="J462" i="3"/>
  <c r="U462" i="3" s="1"/>
  <c r="J465" i="3"/>
  <c r="U465" i="3" s="1"/>
  <c r="J470" i="3"/>
  <c r="U470" i="3" s="1"/>
  <c r="J476" i="3"/>
  <c r="U476" i="3" s="1"/>
  <c r="J485" i="3"/>
  <c r="U485" i="3" s="1"/>
  <c r="J491" i="3"/>
  <c r="U491" i="3" s="1"/>
  <c r="J494" i="3"/>
  <c r="U494" i="3" s="1"/>
  <c r="J500" i="3"/>
  <c r="U500" i="3" s="1"/>
  <c r="J506" i="3"/>
  <c r="U506" i="3" s="1"/>
  <c r="J513" i="3"/>
  <c r="U513" i="3" s="1"/>
  <c r="J516" i="3"/>
  <c r="U516" i="3" s="1"/>
  <c r="J521" i="3"/>
  <c r="U521" i="3" s="1"/>
  <c r="J527" i="3"/>
  <c r="U527" i="3" s="1"/>
  <c r="J533" i="3"/>
  <c r="J536" i="3"/>
  <c r="U536" i="3" s="1"/>
  <c r="J540" i="3"/>
  <c r="U540" i="3" s="1"/>
  <c r="J543" i="3"/>
  <c r="U543" i="3" s="1"/>
  <c r="J549" i="3"/>
  <c r="U549" i="3" s="1"/>
  <c r="J552" i="3"/>
  <c r="U552" i="3" s="1"/>
  <c r="J566" i="3"/>
  <c r="U566" i="3" s="1"/>
  <c r="J569" i="3"/>
  <c r="U569" i="3" s="1"/>
  <c r="J576" i="3"/>
  <c r="U576" i="3" s="1"/>
  <c r="J582" i="3"/>
  <c r="U582" i="3" s="1"/>
  <c r="J587" i="3"/>
  <c r="U587" i="3" s="1"/>
  <c r="J590" i="3"/>
  <c r="U590" i="3" s="1"/>
  <c r="J595" i="3"/>
  <c r="U595" i="3" s="1"/>
  <c r="J600" i="3"/>
  <c r="U600" i="3" s="1"/>
  <c r="J603" i="3"/>
  <c r="U603" i="3" s="1"/>
  <c r="J609" i="3"/>
  <c r="U609" i="3" s="1"/>
  <c r="J616" i="3"/>
  <c r="U616" i="3" s="1"/>
  <c r="J622" i="3"/>
  <c r="U622" i="3" s="1"/>
  <c r="J627" i="3"/>
  <c r="U627" i="3" s="1"/>
  <c r="J632" i="3"/>
  <c r="U632" i="3" s="1"/>
  <c r="J637" i="3"/>
  <c r="U637" i="3" s="1"/>
  <c r="J641" i="3"/>
  <c r="U641" i="3" s="1"/>
  <c r="J644" i="3"/>
  <c r="U644" i="3" s="1"/>
  <c r="J647" i="3"/>
  <c r="U647" i="3" s="1"/>
  <c r="J651" i="3"/>
  <c r="J654" i="3"/>
  <c r="U654" i="3" s="1"/>
  <c r="J658" i="3"/>
  <c r="U658" i="3" s="1"/>
  <c r="J661" i="3"/>
  <c r="U661" i="3" s="1"/>
  <c r="J664" i="3"/>
  <c r="J667" i="3"/>
  <c r="J670" i="3"/>
  <c r="U670" i="3" s="1"/>
  <c r="J680" i="3"/>
  <c r="U680" i="3" s="1"/>
  <c r="J685" i="3"/>
  <c r="U685" i="3" s="1"/>
  <c r="J695" i="3"/>
  <c r="U695" i="3" s="1"/>
  <c r="K695" i="3"/>
  <c r="L695" i="3"/>
  <c r="M695" i="3"/>
  <c r="I15" i="3"/>
  <c r="I18" i="3"/>
  <c r="I23" i="3"/>
  <c r="I26" i="3"/>
  <c r="I29" i="3"/>
  <c r="I32" i="3"/>
  <c r="I35" i="3"/>
  <c r="I38" i="3"/>
  <c r="I42" i="3"/>
  <c r="I45" i="3"/>
  <c r="I48" i="3"/>
  <c r="I51" i="3"/>
  <c r="I54" i="3"/>
  <c r="I57" i="3"/>
  <c r="I60" i="3"/>
  <c r="I63" i="3"/>
  <c r="I66" i="3"/>
  <c r="I69" i="3"/>
  <c r="I72" i="3"/>
  <c r="I75" i="3"/>
  <c r="I78" i="3"/>
  <c r="I84" i="3"/>
  <c r="I87" i="3"/>
  <c r="I90" i="3"/>
  <c r="I93" i="3"/>
  <c r="I96" i="3"/>
  <c r="I99" i="3"/>
  <c r="I102" i="3"/>
  <c r="I105" i="3"/>
  <c r="I108" i="3"/>
  <c r="I111" i="3"/>
  <c r="I114" i="3"/>
  <c r="I117" i="3"/>
  <c r="I120" i="3"/>
  <c r="I123" i="3"/>
  <c r="I126" i="3"/>
  <c r="I129" i="3"/>
  <c r="I132" i="3"/>
  <c r="I135" i="3"/>
  <c r="I138" i="3"/>
  <c r="I141" i="3"/>
  <c r="I144" i="3"/>
  <c r="I147" i="3"/>
  <c r="I151" i="3"/>
  <c r="I162" i="3"/>
  <c r="I166" i="3"/>
  <c r="I170" i="3"/>
  <c r="I174" i="3"/>
  <c r="I180" i="3"/>
  <c r="I183" i="3"/>
  <c r="I186" i="3"/>
  <c r="I192" i="3"/>
  <c r="I202" i="3"/>
  <c r="I205" i="3"/>
  <c r="I208" i="3"/>
  <c r="I212" i="3"/>
  <c r="I219" i="3"/>
  <c r="I222" i="3"/>
  <c r="I225" i="3"/>
  <c r="I231" i="3"/>
  <c r="I239" i="3"/>
  <c r="I242" i="3"/>
  <c r="I247" i="3"/>
  <c r="I257" i="3"/>
  <c r="I260" i="3"/>
  <c r="I265" i="3"/>
  <c r="I269" i="3"/>
  <c r="I272" i="3"/>
  <c r="I277" i="3"/>
  <c r="I281" i="3"/>
  <c r="I284" i="3"/>
  <c r="I287" i="3"/>
  <c r="I290" i="3"/>
  <c r="I295" i="3"/>
  <c r="I300" i="3"/>
  <c r="I302" i="3"/>
  <c r="I307" i="3"/>
  <c r="I310" i="3"/>
  <c r="I312" i="3"/>
  <c r="I315" i="3"/>
  <c r="I318" i="3"/>
  <c r="I320" i="3"/>
  <c r="I323" i="3"/>
  <c r="I326" i="3"/>
  <c r="I338" i="3"/>
  <c r="I341" i="3"/>
  <c r="I344" i="3"/>
  <c r="I352" i="3"/>
  <c r="I359" i="3"/>
  <c r="I364" i="3"/>
  <c r="I367" i="3"/>
  <c r="I370" i="3"/>
  <c r="I378" i="3"/>
  <c r="I381" i="3"/>
  <c r="I384" i="3"/>
  <c r="I389" i="3"/>
  <c r="I392" i="3"/>
  <c r="I395" i="3"/>
  <c r="I400" i="3"/>
  <c r="I405" i="3"/>
  <c r="I408" i="3"/>
  <c r="I411" i="3"/>
  <c r="I414" i="3"/>
  <c r="I421" i="3"/>
  <c r="I424" i="3"/>
  <c r="I432" i="3"/>
  <c r="I439" i="3"/>
  <c r="I447" i="3"/>
  <c r="I452" i="3"/>
  <c r="I456" i="3"/>
  <c r="I462" i="3"/>
  <c r="I465" i="3"/>
  <c r="I470" i="3"/>
  <c r="I476" i="3"/>
  <c r="I485" i="3"/>
  <c r="I491" i="3"/>
  <c r="I494" i="3"/>
  <c r="I500" i="3"/>
  <c r="I506" i="3"/>
  <c r="I513" i="3"/>
  <c r="I516" i="3"/>
  <c r="I521" i="3"/>
  <c r="I527" i="3"/>
  <c r="I533" i="3"/>
  <c r="I536" i="3"/>
  <c r="I540" i="3"/>
  <c r="I543" i="3"/>
  <c r="I549" i="3"/>
  <c r="I552" i="3"/>
  <c r="I566" i="3"/>
  <c r="I569" i="3"/>
  <c r="I576" i="3"/>
  <c r="I582" i="3"/>
  <c r="I587" i="3"/>
  <c r="I590" i="3"/>
  <c r="I595" i="3"/>
  <c r="I600" i="3"/>
  <c r="I603" i="3"/>
  <c r="I609" i="3"/>
  <c r="I616" i="3"/>
  <c r="I622" i="3"/>
  <c r="I627" i="3"/>
  <c r="I632" i="3"/>
  <c r="I637" i="3"/>
  <c r="I641" i="3"/>
  <c r="I644" i="3"/>
  <c r="I647" i="3"/>
  <c r="I651" i="3"/>
  <c r="I654" i="3"/>
  <c r="I658" i="3"/>
  <c r="I661" i="3"/>
  <c r="I664" i="3"/>
  <c r="I667" i="3"/>
  <c r="I670" i="3"/>
  <c r="I680" i="3"/>
  <c r="I685" i="3"/>
  <c r="I695" i="3"/>
  <c r="H15" i="3"/>
  <c r="H18" i="3"/>
  <c r="R18" i="3" s="1"/>
  <c r="H23" i="3"/>
  <c r="R23" i="3" s="1"/>
  <c r="H26" i="3"/>
  <c r="R26" i="3" s="1"/>
  <c r="H29" i="3"/>
  <c r="H32" i="3"/>
  <c r="R32" i="3" s="1"/>
  <c r="H35" i="3"/>
  <c r="R35" i="3" s="1"/>
  <c r="H38" i="3"/>
  <c r="R38" i="3" s="1"/>
  <c r="H42" i="3"/>
  <c r="R42" i="3" s="1"/>
  <c r="H45" i="3"/>
  <c r="H48" i="3"/>
  <c r="H51" i="3"/>
  <c r="H54" i="3"/>
  <c r="R54" i="3" s="1"/>
  <c r="H57" i="3"/>
  <c r="R57" i="3" s="1"/>
  <c r="H60" i="3"/>
  <c r="R60" i="3" s="1"/>
  <c r="H63" i="3"/>
  <c r="R63" i="3" s="1"/>
  <c r="H66" i="3"/>
  <c r="R66" i="3" s="1"/>
  <c r="H69" i="3"/>
  <c r="R69" i="3" s="1"/>
  <c r="H72" i="3"/>
  <c r="R72" i="3" s="1"/>
  <c r="H75" i="3"/>
  <c r="R75" i="3" s="1"/>
  <c r="H78" i="3"/>
  <c r="R78" i="3" s="1"/>
  <c r="H84" i="3"/>
  <c r="R84" i="3" s="1"/>
  <c r="H87" i="3"/>
  <c r="R87" i="3" s="1"/>
  <c r="H90" i="3"/>
  <c r="R90" i="3" s="1"/>
  <c r="H93" i="3"/>
  <c r="R93" i="3" s="1"/>
  <c r="H96" i="3"/>
  <c r="R96" i="3" s="1"/>
  <c r="H99" i="3"/>
  <c r="R99" i="3" s="1"/>
  <c r="H102" i="3"/>
  <c r="R102" i="3" s="1"/>
  <c r="H105" i="3"/>
  <c r="R105" i="3" s="1"/>
  <c r="H108" i="3"/>
  <c r="R108" i="3" s="1"/>
  <c r="H111" i="3"/>
  <c r="R111" i="3" s="1"/>
  <c r="H114" i="3"/>
  <c r="R114" i="3" s="1"/>
  <c r="H117" i="3"/>
  <c r="R117" i="3" s="1"/>
  <c r="H120" i="3"/>
  <c r="R120" i="3" s="1"/>
  <c r="H123" i="3"/>
  <c r="R123" i="3" s="1"/>
  <c r="H126" i="3"/>
  <c r="R126" i="3" s="1"/>
  <c r="H129" i="3"/>
  <c r="R129" i="3" s="1"/>
  <c r="H132" i="3"/>
  <c r="R132" i="3" s="1"/>
  <c r="H135" i="3"/>
  <c r="R135" i="3" s="1"/>
  <c r="H138" i="3"/>
  <c r="R138" i="3" s="1"/>
  <c r="H141" i="3"/>
  <c r="R141" i="3" s="1"/>
  <c r="H144" i="3"/>
  <c r="R144" i="3" s="1"/>
  <c r="H147" i="3"/>
  <c r="R147" i="3" s="1"/>
  <c r="H151" i="3"/>
  <c r="R151" i="3" s="1"/>
  <c r="H162" i="3"/>
  <c r="R162" i="3" s="1"/>
  <c r="H166" i="3"/>
  <c r="R166" i="3" s="1"/>
  <c r="H170" i="3"/>
  <c r="R170" i="3" s="1"/>
  <c r="H174" i="3"/>
  <c r="H180" i="3"/>
  <c r="R180" i="3" s="1"/>
  <c r="H183" i="3"/>
  <c r="R183" i="3" s="1"/>
  <c r="H186" i="3"/>
  <c r="H192" i="3"/>
  <c r="R192" i="3" s="1"/>
  <c r="H202" i="3"/>
  <c r="R202" i="3" s="1"/>
  <c r="H205" i="3"/>
  <c r="R205" i="3" s="1"/>
  <c r="H208" i="3"/>
  <c r="R208" i="3" s="1"/>
  <c r="H212" i="3"/>
  <c r="R212" i="3" s="1"/>
  <c r="H219" i="3"/>
  <c r="R219" i="3" s="1"/>
  <c r="H222" i="3"/>
  <c r="R222" i="3" s="1"/>
  <c r="H225" i="3"/>
  <c r="R225" i="3" s="1"/>
  <c r="H231" i="3"/>
  <c r="H239" i="3"/>
  <c r="R239" i="3" s="1"/>
  <c r="H242" i="3"/>
  <c r="R242" i="3" s="1"/>
  <c r="H247" i="3"/>
  <c r="R247" i="3" s="1"/>
  <c r="H257" i="3"/>
  <c r="R257" i="3" s="1"/>
  <c r="H260" i="3"/>
  <c r="R260" i="3" s="1"/>
  <c r="H265" i="3"/>
  <c r="R265" i="3" s="1"/>
  <c r="H269" i="3"/>
  <c r="R269" i="3" s="1"/>
  <c r="H272" i="3"/>
  <c r="R272" i="3" s="1"/>
  <c r="H277" i="3"/>
  <c r="R277" i="3" s="1"/>
  <c r="H281" i="3"/>
  <c r="R281" i="3" s="1"/>
  <c r="H284" i="3"/>
  <c r="R284" i="3" s="1"/>
  <c r="H287" i="3"/>
  <c r="R287" i="3" s="1"/>
  <c r="H290" i="3"/>
  <c r="R290" i="3" s="1"/>
  <c r="H295" i="3"/>
  <c r="R295" i="3" s="1"/>
  <c r="H300" i="3"/>
  <c r="R300" i="3" s="1"/>
  <c r="H302" i="3"/>
  <c r="R302" i="3" s="1"/>
  <c r="H307" i="3"/>
  <c r="R307" i="3" s="1"/>
  <c r="H310" i="3"/>
  <c r="R310" i="3" s="1"/>
  <c r="H312" i="3"/>
  <c r="R312" i="3" s="1"/>
  <c r="H315" i="3"/>
  <c r="R315" i="3" s="1"/>
  <c r="H318" i="3"/>
  <c r="R318" i="3" s="1"/>
  <c r="H320" i="3"/>
  <c r="R320" i="3" s="1"/>
  <c r="H323" i="3"/>
  <c r="R323" i="3" s="1"/>
  <c r="H326" i="3"/>
  <c r="R326" i="3" s="1"/>
  <c r="H338" i="3"/>
  <c r="R338" i="3" s="1"/>
  <c r="H341" i="3"/>
  <c r="R341" i="3" s="1"/>
  <c r="H344" i="3"/>
  <c r="R344" i="3" s="1"/>
  <c r="H352" i="3"/>
  <c r="R352" i="3" s="1"/>
  <c r="H359" i="3"/>
  <c r="R359" i="3" s="1"/>
  <c r="H364" i="3"/>
  <c r="R364" i="3" s="1"/>
  <c r="H367" i="3"/>
  <c r="R367" i="3" s="1"/>
  <c r="H370" i="3"/>
  <c r="R370" i="3" s="1"/>
  <c r="H378" i="3"/>
  <c r="R378" i="3" s="1"/>
  <c r="H381" i="3"/>
  <c r="R381" i="3" s="1"/>
  <c r="H384" i="3"/>
  <c r="R384" i="3" s="1"/>
  <c r="H389" i="3"/>
  <c r="R389" i="3" s="1"/>
  <c r="H392" i="3"/>
  <c r="R392" i="3" s="1"/>
  <c r="H395" i="3"/>
  <c r="R395" i="3" s="1"/>
  <c r="H400" i="3"/>
  <c r="R400" i="3" s="1"/>
  <c r="H405" i="3"/>
  <c r="R405" i="3" s="1"/>
  <c r="H408" i="3"/>
  <c r="R408" i="3" s="1"/>
  <c r="H411" i="3"/>
  <c r="R411" i="3" s="1"/>
  <c r="H414" i="3"/>
  <c r="R414" i="3" s="1"/>
  <c r="H421" i="3"/>
  <c r="R421" i="3" s="1"/>
  <c r="H424" i="3"/>
  <c r="R424" i="3" s="1"/>
  <c r="H432" i="3"/>
  <c r="R432" i="3" s="1"/>
  <c r="H439" i="3"/>
  <c r="R439" i="3" s="1"/>
  <c r="H447" i="3"/>
  <c r="R447" i="3" s="1"/>
  <c r="H452" i="3"/>
  <c r="R452" i="3" s="1"/>
  <c r="H456" i="3"/>
  <c r="R456" i="3" s="1"/>
  <c r="H462" i="3"/>
  <c r="R462" i="3" s="1"/>
  <c r="H465" i="3"/>
  <c r="R465" i="3" s="1"/>
  <c r="H470" i="3"/>
  <c r="R470" i="3" s="1"/>
  <c r="H476" i="3"/>
  <c r="R476" i="3" s="1"/>
  <c r="H485" i="3"/>
  <c r="R485" i="3" s="1"/>
  <c r="H491" i="3"/>
  <c r="R491" i="3" s="1"/>
  <c r="H494" i="3"/>
  <c r="R494" i="3" s="1"/>
  <c r="H500" i="3"/>
  <c r="R500" i="3" s="1"/>
  <c r="H506" i="3"/>
  <c r="R506" i="3" s="1"/>
  <c r="H513" i="3"/>
  <c r="R513" i="3" s="1"/>
  <c r="H516" i="3"/>
  <c r="R516" i="3" s="1"/>
  <c r="H521" i="3"/>
  <c r="R521" i="3" s="1"/>
  <c r="H527" i="3"/>
  <c r="R527" i="3" s="1"/>
  <c r="H533" i="3"/>
  <c r="R533" i="3" s="1"/>
  <c r="H536" i="3"/>
  <c r="R536" i="3" s="1"/>
  <c r="H540" i="3"/>
  <c r="R540" i="3" s="1"/>
  <c r="H543" i="3"/>
  <c r="R543" i="3" s="1"/>
  <c r="H549" i="3"/>
  <c r="R549" i="3" s="1"/>
  <c r="H552" i="3"/>
  <c r="R552" i="3" s="1"/>
  <c r="H566" i="3"/>
  <c r="R566" i="3" s="1"/>
  <c r="H569" i="3"/>
  <c r="R569" i="3" s="1"/>
  <c r="H576" i="3"/>
  <c r="R576" i="3" s="1"/>
  <c r="H582" i="3"/>
  <c r="R582" i="3" s="1"/>
  <c r="H587" i="3"/>
  <c r="R587" i="3" s="1"/>
  <c r="H590" i="3"/>
  <c r="R590" i="3" s="1"/>
  <c r="H595" i="3"/>
  <c r="R595" i="3" s="1"/>
  <c r="H600" i="3"/>
  <c r="R600" i="3" s="1"/>
  <c r="H603" i="3"/>
  <c r="R603" i="3" s="1"/>
  <c r="H609" i="3"/>
  <c r="R609" i="3" s="1"/>
  <c r="R610" i="3" s="1"/>
  <c r="H616" i="3"/>
  <c r="R616" i="3" s="1"/>
  <c r="H622" i="3"/>
  <c r="R622" i="3" s="1"/>
  <c r="H627" i="3"/>
  <c r="R627" i="3" s="1"/>
  <c r="H632" i="3"/>
  <c r="R632" i="3" s="1"/>
  <c r="H637" i="3"/>
  <c r="R637" i="3" s="1"/>
  <c r="H641" i="3"/>
  <c r="R641" i="3" s="1"/>
  <c r="H644" i="3"/>
  <c r="R644" i="3" s="1"/>
  <c r="H647" i="3"/>
  <c r="R647" i="3" s="1"/>
  <c r="H651" i="3"/>
  <c r="R651" i="3" s="1"/>
  <c r="H654" i="3"/>
  <c r="R654" i="3" s="1"/>
  <c r="H658" i="3"/>
  <c r="R658" i="3" s="1"/>
  <c r="H661" i="3"/>
  <c r="R661" i="3" s="1"/>
  <c r="H664" i="3"/>
  <c r="R664" i="3" s="1"/>
  <c r="H667" i="3"/>
  <c r="R667" i="3" s="1"/>
  <c r="H670" i="3"/>
  <c r="R670" i="3" s="1"/>
  <c r="H680" i="3"/>
  <c r="R680" i="3" s="1"/>
  <c r="H685" i="3"/>
  <c r="R685" i="3" s="1"/>
  <c r="H695" i="3"/>
  <c r="R695" i="3" s="1"/>
  <c r="I12" i="3"/>
  <c r="S12" i="3" s="1"/>
  <c r="T12" i="3" s="1"/>
  <c r="J12" i="3"/>
  <c r="U12" i="3" s="1"/>
  <c r="K12" i="3"/>
  <c r="L12" i="3"/>
  <c r="M12" i="3"/>
  <c r="Q12" i="3"/>
  <c r="H12" i="3"/>
  <c r="X25" i="4" l="1"/>
  <c r="W39" i="4"/>
  <c r="W38" i="4"/>
  <c r="W40" i="4" s="1"/>
  <c r="X39" i="4"/>
  <c r="X38" i="4"/>
  <c r="X40" i="4" s="1"/>
  <c r="X29" i="4"/>
  <c r="U39" i="4"/>
  <c r="U38" i="4"/>
  <c r="U24" i="4"/>
  <c r="W24" i="4"/>
  <c r="U25" i="4"/>
  <c r="W25" i="4"/>
  <c r="U27" i="4"/>
  <c r="W28" i="4"/>
  <c r="U23" i="4"/>
  <c r="W23" i="4"/>
  <c r="V37" i="4"/>
  <c r="V24" i="4"/>
  <c r="V29" i="4" s="1"/>
  <c r="V25" i="4"/>
  <c r="U28" i="4"/>
  <c r="W27" i="4"/>
  <c r="V28" i="4"/>
  <c r="AC47" i="3"/>
  <c r="AC46" i="3"/>
  <c r="AC610" i="3"/>
  <c r="AC229" i="3"/>
  <c r="X336" i="3"/>
  <c r="AC227" i="3"/>
  <c r="AC228" i="3"/>
  <c r="R612" i="3"/>
  <c r="R634" i="3"/>
  <c r="R635" i="3"/>
  <c r="R531" i="3"/>
  <c r="R529" i="3"/>
  <c r="R530" i="3"/>
  <c r="R453" i="3"/>
  <c r="R454" i="3"/>
  <c r="R249" i="3"/>
  <c r="R250" i="3"/>
  <c r="R678" i="3"/>
  <c r="R674" i="3"/>
  <c r="R675" i="3"/>
  <c r="R676" i="3"/>
  <c r="R672" i="3"/>
  <c r="R677" i="3"/>
  <c r="R673" i="3"/>
  <c r="R607" i="3"/>
  <c r="R605" i="3"/>
  <c r="R606" i="3"/>
  <c r="R496" i="3"/>
  <c r="R497" i="3"/>
  <c r="R498" i="3"/>
  <c r="R472" i="3"/>
  <c r="R473" i="3"/>
  <c r="R474" i="3"/>
  <c r="R436" i="3"/>
  <c r="R437" i="3"/>
  <c r="R434" i="3"/>
  <c r="R435" i="3"/>
  <c r="R397" i="3"/>
  <c r="R398" i="3"/>
  <c r="R361" i="3"/>
  <c r="R362" i="3"/>
  <c r="R297" i="3"/>
  <c r="R298" i="3"/>
  <c r="R683" i="3"/>
  <c r="R639" i="3"/>
  <c r="R640" i="3"/>
  <c r="R624" i="3"/>
  <c r="AC624" i="3" s="1"/>
  <c r="R625" i="3"/>
  <c r="AC625" i="3" s="1"/>
  <c r="R613" i="3"/>
  <c r="R614" i="3"/>
  <c r="R615" i="3"/>
  <c r="R592" i="3"/>
  <c r="R593" i="3"/>
  <c r="R571" i="3"/>
  <c r="R572" i="3"/>
  <c r="R573" i="3"/>
  <c r="R574" i="3"/>
  <c r="R518" i="3"/>
  <c r="R519" i="3"/>
  <c r="R504" i="3"/>
  <c r="R502" i="3"/>
  <c r="R503" i="3"/>
  <c r="R480" i="3"/>
  <c r="R481" i="3"/>
  <c r="R482" i="3"/>
  <c r="R478" i="3"/>
  <c r="R483" i="3"/>
  <c r="R479" i="3"/>
  <c r="R443" i="3"/>
  <c r="R444" i="3"/>
  <c r="R445" i="3"/>
  <c r="R441" i="3"/>
  <c r="R442" i="3"/>
  <c r="R416" i="3"/>
  <c r="R417" i="3"/>
  <c r="R418" i="3"/>
  <c r="R419" i="3"/>
  <c r="R402" i="3"/>
  <c r="R403" i="3"/>
  <c r="R386" i="3"/>
  <c r="R387" i="3"/>
  <c r="R348" i="3"/>
  <c r="R349" i="3"/>
  <c r="R346" i="3"/>
  <c r="R347" i="3"/>
  <c r="R274" i="3"/>
  <c r="R275" i="3"/>
  <c r="R691" i="3"/>
  <c r="R692" i="3"/>
  <c r="R688" i="3"/>
  <c r="R693" i="3"/>
  <c r="R690" i="3"/>
  <c r="R629" i="3"/>
  <c r="R630" i="3"/>
  <c r="R597" i="3"/>
  <c r="R598" i="3"/>
  <c r="R578" i="3"/>
  <c r="R579" i="3"/>
  <c r="R580" i="3"/>
  <c r="R558" i="3"/>
  <c r="R554" i="3"/>
  <c r="R559" i="3"/>
  <c r="R555" i="3"/>
  <c r="R556" i="3"/>
  <c r="R557" i="3"/>
  <c r="R523" i="3"/>
  <c r="R524" i="3"/>
  <c r="R525" i="3"/>
  <c r="R489" i="3"/>
  <c r="R487" i="3"/>
  <c r="R488" i="3"/>
  <c r="R449" i="3"/>
  <c r="R450" i="3"/>
  <c r="R356" i="3"/>
  <c r="R357" i="3"/>
  <c r="R354" i="3"/>
  <c r="R355" i="3"/>
  <c r="R332" i="3"/>
  <c r="R328" i="3"/>
  <c r="R333" i="3"/>
  <c r="R329" i="3"/>
  <c r="R334" i="3"/>
  <c r="R330" i="3"/>
  <c r="R335" i="3"/>
  <c r="R331" i="3"/>
  <c r="R304" i="3"/>
  <c r="R305" i="3"/>
  <c r="R279" i="3"/>
  <c r="R262" i="3"/>
  <c r="R263" i="3"/>
  <c r="R244" i="3"/>
  <c r="R245" i="3"/>
  <c r="R711" i="3"/>
  <c r="R707" i="3"/>
  <c r="R699" i="3"/>
  <c r="R712" i="3"/>
  <c r="R708" i="3"/>
  <c r="R700" i="3"/>
  <c r="R709" i="3"/>
  <c r="R705" i="3"/>
  <c r="R701" i="3"/>
  <c r="R697" i="3"/>
  <c r="R710" i="3"/>
  <c r="R706" i="3"/>
  <c r="R702" i="3"/>
  <c r="R698" i="3"/>
  <c r="R618" i="3"/>
  <c r="R619" i="3"/>
  <c r="R620" i="3"/>
  <c r="R584" i="3"/>
  <c r="R585" i="3"/>
  <c r="R508" i="3"/>
  <c r="R509" i="3"/>
  <c r="R510" i="3"/>
  <c r="R511" i="3"/>
  <c r="R467" i="3"/>
  <c r="R468" i="3"/>
  <c r="R430" i="3"/>
  <c r="R426" i="3"/>
  <c r="R427" i="3"/>
  <c r="R428" i="3"/>
  <c r="R429" i="3"/>
  <c r="R374" i="3"/>
  <c r="R375" i="3"/>
  <c r="R376" i="3"/>
  <c r="R372" i="3"/>
  <c r="R373" i="3"/>
  <c r="R292" i="3"/>
  <c r="R293" i="3"/>
  <c r="R266" i="3"/>
  <c r="R267" i="3"/>
  <c r="R214" i="3"/>
  <c r="R215" i="3"/>
  <c r="R217" i="3"/>
  <c r="R216" i="3"/>
  <c r="R199" i="3"/>
  <c r="R195" i="3"/>
  <c r="R200" i="3"/>
  <c r="R196" i="3"/>
  <c r="R197" i="3"/>
  <c r="R198" i="3"/>
  <c r="R194" i="3"/>
  <c r="R158" i="3"/>
  <c r="R154" i="3"/>
  <c r="R159" i="3"/>
  <c r="R155" i="3"/>
  <c r="R160" i="3"/>
  <c r="R156" i="3"/>
  <c r="R157" i="3"/>
  <c r="R153" i="3"/>
  <c r="R209" i="3"/>
  <c r="AC209" i="3" s="1"/>
  <c r="R210" i="3"/>
  <c r="AC210" i="3" s="1"/>
  <c r="AB334" i="3"/>
  <c r="AB332" i="3"/>
  <c r="AB216" i="3"/>
  <c r="AB214" i="3"/>
  <c r="AB335" i="3"/>
  <c r="AB217" i="3"/>
  <c r="AB333" i="3"/>
  <c r="AB331" i="3"/>
  <c r="U51" i="3"/>
  <c r="U29" i="3"/>
  <c r="U15" i="3"/>
  <c r="S685" i="3"/>
  <c r="T685" i="3" s="1"/>
  <c r="S664" i="3"/>
  <c r="X664" i="3" s="1"/>
  <c r="AB664" i="3" s="1"/>
  <c r="S651" i="3"/>
  <c r="S641" i="3"/>
  <c r="S627" i="3"/>
  <c r="S595" i="3"/>
  <c r="T595" i="3" s="1"/>
  <c r="S576" i="3"/>
  <c r="T576" i="3" s="1"/>
  <c r="S552" i="3"/>
  <c r="S540" i="3"/>
  <c r="S521" i="3"/>
  <c r="T521" i="3" s="1"/>
  <c r="S485" i="3"/>
  <c r="T485" i="3" s="1"/>
  <c r="S462" i="3"/>
  <c r="S447" i="3"/>
  <c r="T447" i="3" s="1"/>
  <c r="S421" i="3"/>
  <c r="X421" i="3" s="1"/>
  <c r="AB421" i="3" s="1"/>
  <c r="S405" i="3"/>
  <c r="S389" i="3"/>
  <c r="S367" i="3"/>
  <c r="S352" i="3"/>
  <c r="S326" i="3"/>
  <c r="T326" i="3" s="1"/>
  <c r="S315" i="3"/>
  <c r="V315" i="3" s="1"/>
  <c r="S302" i="3"/>
  <c r="S277" i="3"/>
  <c r="T277" i="3" s="1"/>
  <c r="S260" i="3"/>
  <c r="S242" i="3"/>
  <c r="T242" i="3" s="1"/>
  <c r="S222" i="3"/>
  <c r="S205" i="3"/>
  <c r="S183" i="3"/>
  <c r="S166" i="3"/>
  <c r="T166" i="3" s="1"/>
  <c r="S144" i="3"/>
  <c r="V144" i="3" s="1"/>
  <c r="S132" i="3"/>
  <c r="S120" i="3"/>
  <c r="S111" i="3"/>
  <c r="S102" i="3"/>
  <c r="S90" i="3"/>
  <c r="X90" i="3" s="1"/>
  <c r="AB90" i="3" s="1"/>
  <c r="S75" i="3"/>
  <c r="S63" i="3"/>
  <c r="S54" i="3"/>
  <c r="S42" i="3"/>
  <c r="W42" i="3" s="1"/>
  <c r="Z42" i="3" s="1"/>
  <c r="S29" i="3"/>
  <c r="T29" i="3" s="1"/>
  <c r="S15" i="3"/>
  <c r="T15" i="3" s="1"/>
  <c r="R15" i="3"/>
  <c r="S81" i="3"/>
  <c r="S680" i="3"/>
  <c r="T680" i="3" s="1"/>
  <c r="S661" i="3"/>
  <c r="T661" i="3" s="1"/>
  <c r="S647" i="3"/>
  <c r="S637" i="3"/>
  <c r="T637" i="3" s="1"/>
  <c r="S622" i="3"/>
  <c r="T622" i="3" s="1"/>
  <c r="S609" i="3"/>
  <c r="S590" i="3"/>
  <c r="S569" i="3"/>
  <c r="T569" i="3" s="1"/>
  <c r="S549" i="3"/>
  <c r="S536" i="3"/>
  <c r="S516" i="3"/>
  <c r="S500" i="3"/>
  <c r="T500" i="3" s="1"/>
  <c r="S476" i="3"/>
  <c r="X459" i="3"/>
  <c r="AB459" i="3" s="1"/>
  <c r="S439" i="3"/>
  <c r="S414" i="3"/>
  <c r="T414" i="3" s="1"/>
  <c r="S400" i="3"/>
  <c r="S384" i="3"/>
  <c r="S364" i="3"/>
  <c r="S344" i="3"/>
  <c r="T344" i="3" s="1"/>
  <c r="S323" i="3"/>
  <c r="X323" i="3" s="1"/>
  <c r="AB323" i="3" s="1"/>
  <c r="S312" i="3"/>
  <c r="X312" i="3" s="1"/>
  <c r="AB312" i="3" s="1"/>
  <c r="S300" i="3"/>
  <c r="T300" i="3" s="1"/>
  <c r="S287" i="3"/>
  <c r="S272" i="3"/>
  <c r="S257" i="3"/>
  <c r="T257" i="3" s="1"/>
  <c r="S239" i="3"/>
  <c r="S219" i="3"/>
  <c r="S202" i="3"/>
  <c r="S180" i="3"/>
  <c r="S162" i="3"/>
  <c r="S141" i="3"/>
  <c r="S129" i="3"/>
  <c r="S117" i="3"/>
  <c r="S108" i="3"/>
  <c r="S99" i="3"/>
  <c r="S87" i="3"/>
  <c r="S72" i="3"/>
  <c r="S51" i="3"/>
  <c r="S38" i="3"/>
  <c r="S26" i="3"/>
  <c r="S695" i="3"/>
  <c r="S654" i="3"/>
  <c r="S632" i="3"/>
  <c r="S600" i="3"/>
  <c r="S543" i="3"/>
  <c r="S506" i="3"/>
  <c r="S465" i="3"/>
  <c r="T465" i="3" s="1"/>
  <c r="S424" i="3"/>
  <c r="S392" i="3"/>
  <c r="S370" i="3"/>
  <c r="S338" i="3"/>
  <c r="S307" i="3"/>
  <c r="W307" i="3" s="1"/>
  <c r="Z307" i="3" s="1"/>
  <c r="S281" i="3"/>
  <c r="T281" i="3" s="1"/>
  <c r="S247" i="3"/>
  <c r="T247" i="3" s="1"/>
  <c r="S208" i="3"/>
  <c r="T208" i="3" s="1"/>
  <c r="S170" i="3"/>
  <c r="S135" i="3"/>
  <c r="T135" i="3" s="1"/>
  <c r="S114" i="3"/>
  <c r="S93" i="3"/>
  <c r="S66" i="3"/>
  <c r="S45" i="3"/>
  <c r="S18" i="3"/>
  <c r="T18" i="3" s="1"/>
  <c r="S670" i="3"/>
  <c r="T670" i="3" s="1"/>
  <c r="S658" i="3"/>
  <c r="S603" i="3"/>
  <c r="S587" i="3"/>
  <c r="S566" i="3"/>
  <c r="T566" i="3" s="1"/>
  <c r="X546" i="3"/>
  <c r="AB546" i="3" s="1"/>
  <c r="S533" i="3"/>
  <c r="V533" i="3" s="1"/>
  <c r="S513" i="3"/>
  <c r="S494" i="3"/>
  <c r="S470" i="3"/>
  <c r="S456" i="3"/>
  <c r="S432" i="3"/>
  <c r="T432" i="3" s="1"/>
  <c r="S411" i="3"/>
  <c r="S395" i="3"/>
  <c r="S381" i="3"/>
  <c r="S378" i="3"/>
  <c r="S359" i="3"/>
  <c r="S341" i="3"/>
  <c r="T341" i="3" s="1"/>
  <c r="S320" i="3"/>
  <c r="S310" i="3"/>
  <c r="V310" i="3" s="1"/>
  <c r="S295" i="3"/>
  <c r="S284" i="3"/>
  <c r="T284" i="3" s="1"/>
  <c r="S269" i="3"/>
  <c r="S212" i="3"/>
  <c r="T212" i="3" s="1"/>
  <c r="S192" i="3"/>
  <c r="S174" i="3"/>
  <c r="T174" i="3" s="1"/>
  <c r="S151" i="3"/>
  <c r="T151" i="3" s="1"/>
  <c r="S138" i="3"/>
  <c r="T138" i="3" s="1"/>
  <c r="S126" i="3"/>
  <c r="S96" i="3"/>
  <c r="S84" i="3"/>
  <c r="S69" i="3"/>
  <c r="S60" i="3"/>
  <c r="S48" i="3"/>
  <c r="S35" i="3"/>
  <c r="S23" i="3"/>
  <c r="Q100" i="2"/>
  <c r="R100" i="2" s="1"/>
  <c r="R12" i="3"/>
  <c r="V12" i="3" s="1"/>
  <c r="S667" i="3"/>
  <c r="V667" i="3" s="1"/>
  <c r="S644" i="3"/>
  <c r="S616" i="3"/>
  <c r="S582" i="3"/>
  <c r="S527" i="3"/>
  <c r="S491" i="3"/>
  <c r="S452" i="3"/>
  <c r="S408" i="3"/>
  <c r="S318" i="3"/>
  <c r="W318" i="3" s="1"/>
  <c r="Z318" i="3" s="1"/>
  <c r="S290" i="3"/>
  <c r="S265" i="3"/>
  <c r="S225" i="3"/>
  <c r="T225" i="3" s="1"/>
  <c r="S186" i="3"/>
  <c r="T186" i="3" s="1"/>
  <c r="S147" i="3"/>
  <c r="S123" i="3"/>
  <c r="T123" i="3" s="1"/>
  <c r="S105" i="3"/>
  <c r="S78" i="3"/>
  <c r="S57" i="3"/>
  <c r="S32" i="3"/>
  <c r="R51" i="3"/>
  <c r="AB429" i="3"/>
  <c r="AB357" i="3"/>
  <c r="AB329" i="3"/>
  <c r="AB244" i="3"/>
  <c r="AB229" i="3"/>
  <c r="AB416" i="3"/>
  <c r="AB198" i="3"/>
  <c r="AB199" i="3"/>
  <c r="AB190" i="3"/>
  <c r="AB376" i="3"/>
  <c r="AB375" i="3"/>
  <c r="AB426" i="3"/>
  <c r="AB155" i="3"/>
  <c r="AB245" i="3"/>
  <c r="AB177" i="3"/>
  <c r="AB445" i="3"/>
  <c r="AB328" i="3"/>
  <c r="AB356" i="3"/>
  <c r="AB330" i="3"/>
  <c r="AB228" i="3"/>
  <c r="AB437" i="3"/>
  <c r="AB189" i="3"/>
  <c r="A63" i="3"/>
  <c r="R29" i="3"/>
  <c r="AB443" i="3"/>
  <c r="AB255" i="3"/>
  <c r="AB194" i="3"/>
  <c r="AB176" i="3"/>
  <c r="AB254" i="3"/>
  <c r="AB215" i="3"/>
  <c r="AB160" i="3"/>
  <c r="AB427" i="3"/>
  <c r="Y680" i="3"/>
  <c r="AA680" i="3" s="1"/>
  <c r="Y647" i="3"/>
  <c r="AA647" i="3" s="1"/>
  <c r="Y609" i="3"/>
  <c r="AA609" i="3" s="1"/>
  <c r="Y536" i="3"/>
  <c r="AA536" i="3" s="1"/>
  <c r="Y500" i="3"/>
  <c r="AA500" i="3" s="1"/>
  <c r="Y439" i="3"/>
  <c r="AA439" i="3" s="1"/>
  <c r="Y400" i="3"/>
  <c r="AA400" i="3" s="1"/>
  <c r="Y344" i="3"/>
  <c r="AA344" i="3" s="1"/>
  <c r="Y300" i="3"/>
  <c r="AA300" i="3" s="1"/>
  <c r="Y257" i="3"/>
  <c r="AA257" i="3" s="1"/>
  <c r="Y219" i="3"/>
  <c r="AA219" i="3" s="1"/>
  <c r="Y141" i="3"/>
  <c r="AA141" i="3" s="1"/>
  <c r="Y108" i="3"/>
  <c r="AA108" i="3" s="1"/>
  <c r="Y685" i="3"/>
  <c r="AA685" i="3" s="1"/>
  <c r="Y664" i="3"/>
  <c r="AA664" i="3" s="1"/>
  <c r="Y651" i="3"/>
  <c r="AA651" i="3" s="1"/>
  <c r="Y641" i="3"/>
  <c r="AA641" i="3" s="1"/>
  <c r="Y627" i="3"/>
  <c r="AA627" i="3" s="1"/>
  <c r="Y595" i="3"/>
  <c r="AA595" i="3" s="1"/>
  <c r="Y576" i="3"/>
  <c r="AA576" i="3" s="1"/>
  <c r="Y552" i="3"/>
  <c r="AA552" i="3" s="1"/>
  <c r="Y540" i="3"/>
  <c r="AA540" i="3" s="1"/>
  <c r="Y521" i="3"/>
  <c r="AA521" i="3" s="1"/>
  <c r="Y485" i="3"/>
  <c r="AA485" i="3" s="1"/>
  <c r="Y462" i="3"/>
  <c r="AA462" i="3" s="1"/>
  <c r="Y447" i="3"/>
  <c r="AA447" i="3" s="1"/>
  <c r="Y421" i="3"/>
  <c r="AA421" i="3" s="1"/>
  <c r="Y405" i="3"/>
  <c r="AA405" i="3" s="1"/>
  <c r="Y389" i="3"/>
  <c r="AA389" i="3" s="1"/>
  <c r="Y367" i="3"/>
  <c r="AA367" i="3" s="1"/>
  <c r="Y352" i="3"/>
  <c r="AA352" i="3" s="1"/>
  <c r="Y326" i="3"/>
  <c r="AA326" i="3" s="1"/>
  <c r="Y315" i="3"/>
  <c r="AA315" i="3" s="1"/>
  <c r="Y302" i="3"/>
  <c r="AA302" i="3" s="1"/>
  <c r="Y277" i="3"/>
  <c r="AA277" i="3" s="1"/>
  <c r="Y260" i="3"/>
  <c r="AA260" i="3" s="1"/>
  <c r="Y242" i="3"/>
  <c r="AA242" i="3" s="1"/>
  <c r="Y222" i="3"/>
  <c r="AA222" i="3" s="1"/>
  <c r="Y205" i="3"/>
  <c r="AA205" i="3" s="1"/>
  <c r="Y183" i="3"/>
  <c r="AA183" i="3" s="1"/>
  <c r="Y166" i="3"/>
  <c r="AA166" i="3" s="1"/>
  <c r="Y144" i="3"/>
  <c r="AA144" i="3" s="1"/>
  <c r="Y132" i="3"/>
  <c r="AA132" i="3" s="1"/>
  <c r="Y120" i="3"/>
  <c r="AA120" i="3" s="1"/>
  <c r="Y111" i="3"/>
  <c r="AA111" i="3" s="1"/>
  <c r="Y102" i="3"/>
  <c r="AA102" i="3" s="1"/>
  <c r="Y90" i="3"/>
  <c r="AA90" i="3" s="1"/>
  <c r="Y75" i="3"/>
  <c r="AA75" i="3" s="1"/>
  <c r="Y63" i="3"/>
  <c r="AA63" i="3" s="1"/>
  <c r="Y54" i="3"/>
  <c r="AA54" i="3" s="1"/>
  <c r="Y42" i="3"/>
  <c r="AA42" i="3" s="1"/>
  <c r="Y81" i="3"/>
  <c r="AA81" i="3" s="1"/>
  <c r="Y661" i="3"/>
  <c r="AA661" i="3" s="1"/>
  <c r="Y622" i="3"/>
  <c r="AA622" i="3" s="1"/>
  <c r="Y569" i="3"/>
  <c r="AA569" i="3" s="1"/>
  <c r="Y476" i="3"/>
  <c r="AA476" i="3" s="1"/>
  <c r="Y414" i="3"/>
  <c r="AA414" i="3" s="1"/>
  <c r="Y323" i="3"/>
  <c r="AA323" i="3" s="1"/>
  <c r="Y272" i="3"/>
  <c r="AA272" i="3" s="1"/>
  <c r="Y202" i="3"/>
  <c r="AA202" i="3" s="1"/>
  <c r="Y162" i="3"/>
  <c r="AA162" i="3" s="1"/>
  <c r="Y129" i="3"/>
  <c r="AA129" i="3" s="1"/>
  <c r="Y99" i="3"/>
  <c r="AA99" i="3" s="1"/>
  <c r="Y72" i="3"/>
  <c r="AA72" i="3" s="1"/>
  <c r="Y38" i="3"/>
  <c r="AA38" i="3" s="1"/>
  <c r="Y695" i="3"/>
  <c r="AA695" i="3" s="1"/>
  <c r="Y667" i="3"/>
  <c r="AA667" i="3" s="1"/>
  <c r="Y654" i="3"/>
  <c r="AA654" i="3" s="1"/>
  <c r="Y644" i="3"/>
  <c r="AA644" i="3" s="1"/>
  <c r="Y632" i="3"/>
  <c r="AA632" i="3" s="1"/>
  <c r="Y616" i="3"/>
  <c r="AA616" i="3" s="1"/>
  <c r="Y600" i="3"/>
  <c r="AA600" i="3" s="1"/>
  <c r="Y582" i="3"/>
  <c r="AA582" i="3" s="1"/>
  <c r="Y561" i="3"/>
  <c r="AA561" i="3" s="1"/>
  <c r="Y543" i="3"/>
  <c r="AA543" i="3" s="1"/>
  <c r="Y527" i="3"/>
  <c r="AA527" i="3" s="1"/>
  <c r="Y506" i="3"/>
  <c r="AA506" i="3" s="1"/>
  <c r="Y491" i="3"/>
  <c r="AA491" i="3" s="1"/>
  <c r="Y465" i="3"/>
  <c r="AA465" i="3" s="1"/>
  <c r="Y452" i="3"/>
  <c r="AA452" i="3" s="1"/>
  <c r="Y424" i="3"/>
  <c r="AA424" i="3" s="1"/>
  <c r="Y408" i="3"/>
  <c r="AA408" i="3" s="1"/>
  <c r="Y392" i="3"/>
  <c r="AA392" i="3" s="1"/>
  <c r="Y370" i="3"/>
  <c r="AA370" i="3" s="1"/>
  <c r="Y338" i="3"/>
  <c r="AA338" i="3" s="1"/>
  <c r="Y318" i="3"/>
  <c r="AA318" i="3" s="1"/>
  <c r="Y307" i="3"/>
  <c r="AA307" i="3" s="1"/>
  <c r="Y290" i="3"/>
  <c r="AA290" i="3" s="1"/>
  <c r="Y281" i="3"/>
  <c r="AA281" i="3" s="1"/>
  <c r="Y265" i="3"/>
  <c r="AA265" i="3" s="1"/>
  <c r="Y247" i="3"/>
  <c r="AA247" i="3" s="1"/>
  <c r="Y225" i="3"/>
  <c r="AA225" i="3" s="1"/>
  <c r="Y208" i="3"/>
  <c r="AA208" i="3" s="1"/>
  <c r="Y186" i="3"/>
  <c r="AA186" i="3" s="1"/>
  <c r="Y170" i="3"/>
  <c r="AA170" i="3" s="1"/>
  <c r="Y147" i="3"/>
  <c r="AA147" i="3" s="1"/>
  <c r="Y135" i="3"/>
  <c r="AA135" i="3" s="1"/>
  <c r="Y123" i="3"/>
  <c r="AA123" i="3" s="1"/>
  <c r="Y114" i="3"/>
  <c r="AA114" i="3" s="1"/>
  <c r="Y105" i="3"/>
  <c r="AA105" i="3" s="1"/>
  <c r="Y93" i="3"/>
  <c r="AA93" i="3" s="1"/>
  <c r="Y78" i="3"/>
  <c r="AA78" i="3" s="1"/>
  <c r="Y66" i="3"/>
  <c r="AA66" i="3" s="1"/>
  <c r="Y57" i="3"/>
  <c r="AA57" i="3" s="1"/>
  <c r="Y26" i="3"/>
  <c r="AA26" i="3" s="1"/>
  <c r="Y45" i="3"/>
  <c r="AA45" i="3" s="1"/>
  <c r="Y32" i="3"/>
  <c r="AA32" i="3" s="1"/>
  <c r="R174" i="3"/>
  <c r="Y637" i="3"/>
  <c r="AA637" i="3" s="1"/>
  <c r="Y590" i="3"/>
  <c r="AA590" i="3" s="1"/>
  <c r="Y549" i="3"/>
  <c r="AA549" i="3" s="1"/>
  <c r="Y516" i="3"/>
  <c r="AA516" i="3" s="1"/>
  <c r="Y459" i="3"/>
  <c r="AA459" i="3" s="1"/>
  <c r="Y384" i="3"/>
  <c r="AA384" i="3" s="1"/>
  <c r="Y364" i="3"/>
  <c r="AA364" i="3" s="1"/>
  <c r="Y312" i="3"/>
  <c r="AA312" i="3" s="1"/>
  <c r="Y287" i="3"/>
  <c r="AA287" i="3" s="1"/>
  <c r="Y239" i="3"/>
  <c r="AA239" i="3" s="1"/>
  <c r="Y180" i="3"/>
  <c r="AA180" i="3" s="1"/>
  <c r="Y117" i="3"/>
  <c r="AA117" i="3" s="1"/>
  <c r="Y87" i="3"/>
  <c r="AA87" i="3" s="1"/>
  <c r="Y18" i="3"/>
  <c r="AA18" i="3" s="1"/>
  <c r="Y12" i="3"/>
  <c r="AA12" i="3" s="1"/>
  <c r="R186" i="3"/>
  <c r="Y670" i="3"/>
  <c r="AA670" i="3" s="1"/>
  <c r="Y658" i="3"/>
  <c r="AA658" i="3" s="1"/>
  <c r="Y603" i="3"/>
  <c r="AA603" i="3" s="1"/>
  <c r="Y587" i="3"/>
  <c r="AA587" i="3" s="1"/>
  <c r="Y566" i="3"/>
  <c r="AA566" i="3" s="1"/>
  <c r="Y546" i="3"/>
  <c r="AA546" i="3" s="1"/>
  <c r="Y533" i="3"/>
  <c r="AA533" i="3" s="1"/>
  <c r="Y513" i="3"/>
  <c r="AA513" i="3" s="1"/>
  <c r="Y494" i="3"/>
  <c r="AA494" i="3" s="1"/>
  <c r="Y470" i="3"/>
  <c r="AA470" i="3" s="1"/>
  <c r="Y456" i="3"/>
  <c r="AA456" i="3" s="1"/>
  <c r="Y432" i="3"/>
  <c r="AA432" i="3" s="1"/>
  <c r="Y411" i="3"/>
  <c r="AA411" i="3" s="1"/>
  <c r="Y395" i="3"/>
  <c r="AA395" i="3" s="1"/>
  <c r="Y381" i="3"/>
  <c r="AA381" i="3" s="1"/>
  <c r="Y378" i="3"/>
  <c r="AA378" i="3" s="1"/>
  <c r="Y359" i="3"/>
  <c r="AA359" i="3" s="1"/>
  <c r="Y341" i="3"/>
  <c r="AA341" i="3" s="1"/>
  <c r="Y320" i="3"/>
  <c r="AA320" i="3" s="1"/>
  <c r="Y310" i="3"/>
  <c r="AA310" i="3" s="1"/>
  <c r="Y295" i="3"/>
  <c r="AA295" i="3" s="1"/>
  <c r="Y284" i="3"/>
  <c r="AA284" i="3" s="1"/>
  <c r="Y269" i="3"/>
  <c r="AA269" i="3" s="1"/>
  <c r="Y252" i="3"/>
  <c r="AA252" i="3" s="1"/>
  <c r="Y231" i="3"/>
  <c r="AA231" i="3" s="1"/>
  <c r="Y212" i="3"/>
  <c r="AA212" i="3" s="1"/>
  <c r="Y192" i="3"/>
  <c r="AA192" i="3" s="1"/>
  <c r="Y174" i="3"/>
  <c r="AA174" i="3" s="1"/>
  <c r="Y151" i="3"/>
  <c r="AA151" i="3" s="1"/>
  <c r="Y138" i="3"/>
  <c r="AA138" i="3" s="1"/>
  <c r="Y126" i="3"/>
  <c r="AA126" i="3" s="1"/>
  <c r="Y96" i="3"/>
  <c r="AA96" i="3" s="1"/>
  <c r="Y84" i="3"/>
  <c r="AA84" i="3" s="1"/>
  <c r="Y69" i="3"/>
  <c r="AA69" i="3" s="1"/>
  <c r="Y60" i="3"/>
  <c r="AA60" i="3" s="1"/>
  <c r="Y23" i="3"/>
  <c r="AA23" i="3" s="1"/>
  <c r="Y48" i="3"/>
  <c r="AA48" i="3" s="1"/>
  <c r="Y35" i="3"/>
  <c r="AA35" i="3" s="1"/>
  <c r="R171" i="3"/>
  <c r="R172" i="3"/>
  <c r="R169" i="3"/>
  <c r="R168" i="3"/>
  <c r="R164" i="3"/>
  <c r="R163" i="3"/>
  <c r="R20" i="3"/>
  <c r="R21" i="3"/>
  <c r="R39" i="3"/>
  <c r="R40" i="3"/>
  <c r="W247" i="3"/>
  <c r="Z247" i="3" s="1"/>
  <c r="V39" i="4" l="1"/>
  <c r="V38" i="4"/>
  <c r="V40" i="4" s="1"/>
  <c r="U29" i="4"/>
  <c r="Y38" i="4"/>
  <c r="U40" i="4"/>
  <c r="W29" i="4"/>
  <c r="V45" i="4"/>
  <c r="Y39" i="4"/>
  <c r="Y37" i="4"/>
  <c r="Y40" i="4" s="1"/>
  <c r="W595" i="3"/>
  <c r="Z595" i="3" s="1"/>
  <c r="S598" i="3"/>
  <c r="X598" i="3" s="1"/>
  <c r="T51" i="3"/>
  <c r="W32" i="3"/>
  <c r="Z32" i="3" s="1"/>
  <c r="T32" i="3"/>
  <c r="V32" i="3" s="1"/>
  <c r="X78" i="3"/>
  <c r="AB78" i="3" s="1"/>
  <c r="T78" i="3"/>
  <c r="S266" i="3"/>
  <c r="X266" i="3" s="1"/>
  <c r="AB266" i="3" s="1"/>
  <c r="T265" i="3"/>
  <c r="S454" i="3"/>
  <c r="W454" i="3" s="1"/>
  <c r="Z454" i="3" s="1"/>
  <c r="T452" i="3"/>
  <c r="W527" i="3"/>
  <c r="Z527" i="3" s="1"/>
  <c r="T527" i="3"/>
  <c r="X616" i="3"/>
  <c r="AB616" i="3" s="1"/>
  <c r="T616" i="3"/>
  <c r="W35" i="3"/>
  <c r="Z35" i="3" s="1"/>
  <c r="T35" i="3"/>
  <c r="V35" i="3" s="1"/>
  <c r="W60" i="3"/>
  <c r="Z60" i="3" s="1"/>
  <c r="T60" i="3"/>
  <c r="V60" i="3" s="1"/>
  <c r="W84" i="3"/>
  <c r="Z84" i="3" s="1"/>
  <c r="T84" i="3"/>
  <c r="V84" i="3" s="1"/>
  <c r="V126" i="3"/>
  <c r="T126" i="3"/>
  <c r="X192" i="3"/>
  <c r="AB192" i="3" s="1"/>
  <c r="T192" i="3"/>
  <c r="V378" i="3"/>
  <c r="T378" i="3"/>
  <c r="S397" i="3"/>
  <c r="T395" i="3"/>
  <c r="S474" i="3"/>
  <c r="W474" i="3" s="1"/>
  <c r="Z474" i="3" s="1"/>
  <c r="T470" i="3"/>
  <c r="W513" i="3"/>
  <c r="Z513" i="3" s="1"/>
  <c r="T513" i="3"/>
  <c r="V513" i="3" s="1"/>
  <c r="V587" i="3"/>
  <c r="T587" i="3"/>
  <c r="X658" i="3"/>
  <c r="AB658" i="3" s="1"/>
  <c r="T658" i="3"/>
  <c r="V658" i="3" s="1"/>
  <c r="W66" i="3"/>
  <c r="Z66" i="3" s="1"/>
  <c r="T66" i="3"/>
  <c r="V66" i="3" s="1"/>
  <c r="W114" i="3"/>
  <c r="Z114" i="3" s="1"/>
  <c r="T114" i="3"/>
  <c r="V114" i="3" s="1"/>
  <c r="W170" i="3"/>
  <c r="Z170" i="3" s="1"/>
  <c r="T170" i="3"/>
  <c r="W370" i="3"/>
  <c r="Z370" i="3" s="1"/>
  <c r="T370" i="3"/>
  <c r="W424" i="3"/>
  <c r="Z424" i="3" s="1"/>
  <c r="T424" i="3"/>
  <c r="X506" i="3"/>
  <c r="AB506" i="3" s="1"/>
  <c r="T506" i="3"/>
  <c r="V600" i="3"/>
  <c r="T600" i="3"/>
  <c r="W654" i="3"/>
  <c r="Z654" i="3" s="1"/>
  <c r="T654" i="3"/>
  <c r="V654" i="3" s="1"/>
  <c r="V26" i="3"/>
  <c r="T26" i="3"/>
  <c r="T87" i="3"/>
  <c r="V87" i="3" s="1"/>
  <c r="T108" i="3"/>
  <c r="V108" i="3" s="1"/>
  <c r="T129" i="3"/>
  <c r="V129" i="3" s="1"/>
  <c r="X162" i="3"/>
  <c r="AB162" i="3" s="1"/>
  <c r="T162" i="3"/>
  <c r="T202" i="3"/>
  <c r="V202" i="3" s="1"/>
  <c r="X239" i="3"/>
  <c r="AB239" i="3" s="1"/>
  <c r="T239" i="3"/>
  <c r="V239" i="3" s="1"/>
  <c r="S274" i="3"/>
  <c r="T272" i="3"/>
  <c r="X364" i="3"/>
  <c r="AB364" i="3" s="1"/>
  <c r="T364" i="3"/>
  <c r="S403" i="3"/>
  <c r="T400" i="3"/>
  <c r="W439" i="3"/>
  <c r="Z439" i="3" s="1"/>
  <c r="T439" i="3"/>
  <c r="W476" i="3"/>
  <c r="Z476" i="3" s="1"/>
  <c r="T476" i="3"/>
  <c r="S518" i="3"/>
  <c r="T516" i="3"/>
  <c r="T549" i="3"/>
  <c r="V549" i="3" s="1"/>
  <c r="S593" i="3"/>
  <c r="X593" i="3" s="1"/>
  <c r="AB593" i="3" s="1"/>
  <c r="T590" i="3"/>
  <c r="T647" i="3"/>
  <c r="V647" i="3" s="1"/>
  <c r="T54" i="3"/>
  <c r="V54" i="3" s="1"/>
  <c r="T75" i="3"/>
  <c r="V75" i="3" s="1"/>
  <c r="V102" i="3"/>
  <c r="T102" i="3"/>
  <c r="T120" i="3"/>
  <c r="V120" i="3" s="1"/>
  <c r="T183" i="3"/>
  <c r="V183" i="3" s="1"/>
  <c r="W222" i="3"/>
  <c r="Z222" i="3" s="1"/>
  <c r="T222" i="3"/>
  <c r="V222" i="3" s="1"/>
  <c r="S262" i="3"/>
  <c r="X262" i="3" s="1"/>
  <c r="AB262" i="3" s="1"/>
  <c r="T260" i="3"/>
  <c r="S305" i="3"/>
  <c r="T302" i="3"/>
  <c r="X367" i="3"/>
  <c r="AB367" i="3" s="1"/>
  <c r="T367" i="3"/>
  <c r="V367" i="3" s="1"/>
  <c r="T405" i="3"/>
  <c r="V405" i="3" s="1"/>
  <c r="X540" i="3"/>
  <c r="AB540" i="3" s="1"/>
  <c r="T540" i="3"/>
  <c r="V540" i="3" s="1"/>
  <c r="S629" i="3"/>
  <c r="X629" i="3" s="1"/>
  <c r="AB629" i="3" s="1"/>
  <c r="T627" i="3"/>
  <c r="T651" i="3"/>
  <c r="V651" i="3" s="1"/>
  <c r="W57" i="3"/>
  <c r="Z57" i="3" s="1"/>
  <c r="T57" i="3"/>
  <c r="V57" i="3" s="1"/>
  <c r="W105" i="3"/>
  <c r="Z105" i="3" s="1"/>
  <c r="T105" i="3"/>
  <c r="V105" i="3" s="1"/>
  <c r="W147" i="3"/>
  <c r="Z147" i="3" s="1"/>
  <c r="T147" i="3"/>
  <c r="V147" i="3" s="1"/>
  <c r="X290" i="3"/>
  <c r="AB290" i="3" s="1"/>
  <c r="T290" i="3"/>
  <c r="W408" i="3"/>
  <c r="Z408" i="3" s="1"/>
  <c r="T408" i="3"/>
  <c r="V408" i="3" s="1"/>
  <c r="X491" i="3"/>
  <c r="AB491" i="3" s="1"/>
  <c r="T491" i="3"/>
  <c r="V491" i="3" s="1"/>
  <c r="S584" i="3"/>
  <c r="W584" i="3" s="1"/>
  <c r="Z584" i="3" s="1"/>
  <c r="T582" i="3"/>
  <c r="T644" i="3"/>
  <c r="V644" i="3" s="1"/>
  <c r="X23" i="3"/>
  <c r="AB23" i="3" s="1"/>
  <c r="T23" i="3"/>
  <c r="V48" i="3"/>
  <c r="W69" i="3"/>
  <c r="Z69" i="3" s="1"/>
  <c r="T69" i="3"/>
  <c r="T96" i="3"/>
  <c r="V96" i="3" s="1"/>
  <c r="T269" i="3"/>
  <c r="V269" i="3" s="1"/>
  <c r="S297" i="3"/>
  <c r="X297" i="3" s="1"/>
  <c r="AB297" i="3" s="1"/>
  <c r="T295" i="3"/>
  <c r="X320" i="3"/>
  <c r="AB320" i="3" s="1"/>
  <c r="T320" i="3"/>
  <c r="S361" i="3"/>
  <c r="X361" i="3" s="1"/>
  <c r="AB361" i="3" s="1"/>
  <c r="T359" i="3"/>
  <c r="W381" i="3"/>
  <c r="Z381" i="3" s="1"/>
  <c r="T381" i="3"/>
  <c r="V381" i="3" s="1"/>
  <c r="X411" i="3"/>
  <c r="AB411" i="3" s="1"/>
  <c r="T411" i="3"/>
  <c r="V411" i="3" s="1"/>
  <c r="X456" i="3"/>
  <c r="AB456" i="3" s="1"/>
  <c r="T456" i="3"/>
  <c r="W494" i="3"/>
  <c r="Z494" i="3" s="1"/>
  <c r="T494" i="3"/>
  <c r="X603" i="3"/>
  <c r="AB603" i="3" s="1"/>
  <c r="T603" i="3"/>
  <c r="W45" i="3"/>
  <c r="Z45" i="3" s="1"/>
  <c r="T93" i="3"/>
  <c r="V93" i="3" s="1"/>
  <c r="T338" i="3"/>
  <c r="V338" i="3" s="1"/>
  <c r="W392" i="3"/>
  <c r="Z392" i="3" s="1"/>
  <c r="T392" i="3"/>
  <c r="W543" i="3"/>
  <c r="Z543" i="3" s="1"/>
  <c r="T543" i="3"/>
  <c r="X632" i="3"/>
  <c r="AB632" i="3" s="1"/>
  <c r="T632" i="3"/>
  <c r="W695" i="3"/>
  <c r="Z695" i="3" s="1"/>
  <c r="T695" i="3"/>
  <c r="T38" i="3"/>
  <c r="T39" i="3" s="1"/>
  <c r="T40" i="3" s="1"/>
  <c r="X72" i="3"/>
  <c r="AB72" i="3" s="1"/>
  <c r="T72" i="3"/>
  <c r="V72" i="3" s="1"/>
  <c r="T99" i="3"/>
  <c r="V99" i="3" s="1"/>
  <c r="W117" i="3"/>
  <c r="Z117" i="3" s="1"/>
  <c r="T117" i="3"/>
  <c r="V117" i="3" s="1"/>
  <c r="T141" i="3"/>
  <c r="V141" i="3" s="1"/>
  <c r="T180" i="3"/>
  <c r="V180" i="3" s="1"/>
  <c r="X219" i="3"/>
  <c r="AB219" i="3" s="1"/>
  <c r="T219" i="3"/>
  <c r="X287" i="3"/>
  <c r="AB287" i="3" s="1"/>
  <c r="T287" i="3"/>
  <c r="V287" i="3" s="1"/>
  <c r="X384" i="3"/>
  <c r="AB384" i="3" s="1"/>
  <c r="T384" i="3"/>
  <c r="W536" i="3"/>
  <c r="Z536" i="3" s="1"/>
  <c r="T536" i="3"/>
  <c r="V536" i="3" s="1"/>
  <c r="X609" i="3"/>
  <c r="AB609" i="3" s="1"/>
  <c r="T609" i="3"/>
  <c r="X81" i="3"/>
  <c r="AB81" i="3" s="1"/>
  <c r="T81" i="3"/>
  <c r="V81" i="3" s="1"/>
  <c r="T42" i="3"/>
  <c r="V42" i="3" s="1"/>
  <c r="T63" i="3"/>
  <c r="V63" i="3" s="1"/>
  <c r="V90" i="3"/>
  <c r="T90" i="3"/>
  <c r="T111" i="3"/>
  <c r="V111" i="3" s="1"/>
  <c r="W132" i="3"/>
  <c r="Z132" i="3" s="1"/>
  <c r="T132" i="3"/>
  <c r="V132" i="3" s="1"/>
  <c r="T205" i="3"/>
  <c r="V205" i="3" s="1"/>
  <c r="W352" i="3"/>
  <c r="Z352" i="3" s="1"/>
  <c r="T352" i="3"/>
  <c r="T389" i="3"/>
  <c r="V389" i="3" s="1"/>
  <c r="T421" i="3"/>
  <c r="V421" i="3" s="1"/>
  <c r="T462" i="3"/>
  <c r="V462" i="3" s="1"/>
  <c r="X552" i="3"/>
  <c r="AB552" i="3" s="1"/>
  <c r="T552" i="3"/>
  <c r="T641" i="3"/>
  <c r="V641" i="3" s="1"/>
  <c r="X521" i="3"/>
  <c r="AB521" i="3" s="1"/>
  <c r="W231" i="3"/>
  <c r="Z231" i="3" s="1"/>
  <c r="W208" i="3"/>
  <c r="Z208" i="3" s="1"/>
  <c r="X576" i="3"/>
  <c r="AB576" i="3" s="1"/>
  <c r="W202" i="3"/>
  <c r="Z202" i="3" s="1"/>
  <c r="AB336" i="3"/>
  <c r="X48" i="3"/>
  <c r="AB48" i="3" s="1"/>
  <c r="X476" i="3"/>
  <c r="AB476" i="3" s="1"/>
  <c r="X87" i="3"/>
  <c r="AB87" i="3" s="1"/>
  <c r="X378" i="3"/>
  <c r="AB378" i="3" s="1"/>
  <c r="W485" i="3"/>
  <c r="Z485" i="3" s="1"/>
  <c r="X405" i="3"/>
  <c r="AB405" i="3" s="1"/>
  <c r="W260" i="3"/>
  <c r="Z260" i="3" s="1"/>
  <c r="S683" i="3"/>
  <c r="X683" i="3" s="1"/>
  <c r="AB683" i="3" s="1"/>
  <c r="X120" i="3"/>
  <c r="AB120" i="3" s="1"/>
  <c r="X651" i="3"/>
  <c r="AB651" i="3" s="1"/>
  <c r="X549" i="3"/>
  <c r="AB549" i="3" s="1"/>
  <c r="W709" i="3"/>
  <c r="W326" i="3"/>
  <c r="Z326" i="3" s="1"/>
  <c r="W651" i="3"/>
  <c r="Z651" i="3" s="1"/>
  <c r="W108" i="3"/>
  <c r="Z108" i="3" s="1"/>
  <c r="W500" i="3"/>
  <c r="Z500" i="3" s="1"/>
  <c r="S263" i="3"/>
  <c r="X263" i="3" s="1"/>
  <c r="AB263" i="3" s="1"/>
  <c r="S556" i="3"/>
  <c r="X556" i="3" s="1"/>
  <c r="AB556" i="3" s="1"/>
  <c r="X75" i="3"/>
  <c r="W183" i="3"/>
  <c r="Z183" i="3" s="1"/>
  <c r="W405" i="3"/>
  <c r="Z405" i="3" s="1"/>
  <c r="S592" i="3"/>
  <c r="X592" i="3" s="1"/>
  <c r="X183" i="3"/>
  <c r="W269" i="3"/>
  <c r="Z269" i="3" s="1"/>
  <c r="X260" i="3"/>
  <c r="V432" i="3"/>
  <c r="T436" i="3"/>
  <c r="V436" i="3" s="1"/>
  <c r="T437" i="3"/>
  <c r="V437" i="3" s="1"/>
  <c r="T434" i="3"/>
  <c r="V434" i="3" s="1"/>
  <c r="T435" i="3"/>
  <c r="V435" i="3" s="1"/>
  <c r="V465" i="3"/>
  <c r="T467" i="3"/>
  <c r="T468" i="3"/>
  <c r="V622" i="3"/>
  <c r="T624" i="3"/>
  <c r="V624" i="3" s="1"/>
  <c r="T625" i="3"/>
  <c r="V625" i="3" s="1"/>
  <c r="V447" i="3"/>
  <c r="T449" i="3"/>
  <c r="T450" i="3"/>
  <c r="V450" i="3" s="1"/>
  <c r="V685" i="3"/>
  <c r="T692" i="3"/>
  <c r="V692" i="3" s="1"/>
  <c r="T688" i="3"/>
  <c r="V688" i="3" s="1"/>
  <c r="T693" i="3"/>
  <c r="V693" i="3" s="1"/>
  <c r="T690" i="3"/>
  <c r="V690" i="3" s="1"/>
  <c r="T691" i="3"/>
  <c r="V691" i="3" s="1"/>
  <c r="W373" i="3"/>
  <c r="Z373" i="3" s="1"/>
  <c r="AC373" i="3" s="1"/>
  <c r="W374" i="3"/>
  <c r="Z374" i="3" s="1"/>
  <c r="AC374" i="3" s="1"/>
  <c r="W426" i="3"/>
  <c r="Z426" i="3" s="1"/>
  <c r="AC426" i="3" s="1"/>
  <c r="W511" i="3"/>
  <c r="Z511" i="3" s="1"/>
  <c r="AC511" i="3" s="1"/>
  <c r="W618" i="3"/>
  <c r="Z618" i="3" s="1"/>
  <c r="AC618" i="3" s="1"/>
  <c r="W710" i="3"/>
  <c r="Z710" i="3" s="1"/>
  <c r="AC710" i="3" s="1"/>
  <c r="W708" i="3"/>
  <c r="Z708" i="3" s="1"/>
  <c r="AC708" i="3" s="1"/>
  <c r="W707" i="3"/>
  <c r="Z707" i="3" s="1"/>
  <c r="AC707" i="3" s="1"/>
  <c r="W244" i="3"/>
  <c r="Z244" i="3" s="1"/>
  <c r="AC244" i="3" s="1"/>
  <c r="W335" i="3"/>
  <c r="Z335" i="3" s="1"/>
  <c r="AC335" i="3" s="1"/>
  <c r="W333" i="3"/>
  <c r="Z333" i="3" s="1"/>
  <c r="AC333" i="3" s="1"/>
  <c r="W355" i="3"/>
  <c r="Z355" i="3" s="1"/>
  <c r="AC355" i="3" s="1"/>
  <c r="W489" i="3"/>
  <c r="Z489" i="3" s="1"/>
  <c r="AC489" i="3" s="1"/>
  <c r="W578" i="3"/>
  <c r="Z578" i="3" s="1"/>
  <c r="AC578" i="3" s="1"/>
  <c r="W688" i="3"/>
  <c r="Z688" i="3" s="1"/>
  <c r="AC688" i="3" s="1"/>
  <c r="W349" i="3"/>
  <c r="Z349" i="3" s="1"/>
  <c r="AC349" i="3" s="1"/>
  <c r="W417" i="3"/>
  <c r="Z417" i="3" s="1"/>
  <c r="AC417" i="3" s="1"/>
  <c r="W445" i="3"/>
  <c r="Z445" i="3" s="1"/>
  <c r="AC445" i="3" s="1"/>
  <c r="W483" i="3"/>
  <c r="Z483" i="3" s="1"/>
  <c r="AC483" i="3" s="1"/>
  <c r="W480" i="3"/>
  <c r="Z480" i="3" s="1"/>
  <c r="AC480" i="3" s="1"/>
  <c r="W572" i="3"/>
  <c r="Z572" i="3" s="1"/>
  <c r="AC572" i="3" s="1"/>
  <c r="W615" i="3"/>
  <c r="Z615" i="3" s="1"/>
  <c r="AC615" i="3" s="1"/>
  <c r="W235" i="3"/>
  <c r="Z235" i="3" s="1"/>
  <c r="AC235" i="3" s="1"/>
  <c r="W437" i="3"/>
  <c r="Z437" i="3" s="1"/>
  <c r="AC437" i="3" s="1"/>
  <c r="W606" i="3"/>
  <c r="Z606" i="3" s="1"/>
  <c r="AC606" i="3" s="1"/>
  <c r="W677" i="3"/>
  <c r="Z677" i="3" s="1"/>
  <c r="AC677" i="3" s="1"/>
  <c r="W531" i="3"/>
  <c r="Z531" i="3" s="1"/>
  <c r="AC531" i="3" s="1"/>
  <c r="W375" i="3"/>
  <c r="Z375" i="3" s="1"/>
  <c r="AC375" i="3" s="1"/>
  <c r="W619" i="3"/>
  <c r="Z619" i="3" s="1"/>
  <c r="AC619" i="3" s="1"/>
  <c r="W705" i="3"/>
  <c r="Z705" i="3" s="1"/>
  <c r="AC705" i="3" s="1"/>
  <c r="W245" i="3"/>
  <c r="Z245" i="3" s="1"/>
  <c r="AC245" i="3" s="1"/>
  <c r="W331" i="3"/>
  <c r="Z331" i="3" s="1"/>
  <c r="AC331" i="3" s="1"/>
  <c r="W487" i="3"/>
  <c r="Z487" i="3" s="1"/>
  <c r="AC487" i="3" s="1"/>
  <c r="W579" i="3"/>
  <c r="Z579" i="3" s="1"/>
  <c r="AC579" i="3" s="1"/>
  <c r="W693" i="3"/>
  <c r="Z693" i="3" s="1"/>
  <c r="AC693" i="3" s="1"/>
  <c r="W346" i="3"/>
  <c r="Z346" i="3" s="1"/>
  <c r="AC346" i="3" s="1"/>
  <c r="W418" i="3"/>
  <c r="Z418" i="3" s="1"/>
  <c r="AC418" i="3" s="1"/>
  <c r="W479" i="3"/>
  <c r="Z479" i="3" s="1"/>
  <c r="AC479" i="3" s="1"/>
  <c r="W504" i="3"/>
  <c r="Z504" i="3" s="1"/>
  <c r="AC504" i="3" s="1"/>
  <c r="W236" i="3"/>
  <c r="Z236" i="3" s="1"/>
  <c r="AC236" i="3" s="1"/>
  <c r="W254" i="3"/>
  <c r="Z254" i="3" s="1"/>
  <c r="AC254" i="3" s="1"/>
  <c r="W434" i="3"/>
  <c r="Z434" i="3" s="1"/>
  <c r="AC434" i="3" s="1"/>
  <c r="W496" i="3"/>
  <c r="Z496" i="3" s="1"/>
  <c r="AC496" i="3" s="1"/>
  <c r="W673" i="3"/>
  <c r="Z673" i="3" s="1"/>
  <c r="AC673" i="3" s="1"/>
  <c r="W675" i="3"/>
  <c r="Z675" i="3" s="1"/>
  <c r="AC675" i="3" s="1"/>
  <c r="W249" i="3"/>
  <c r="Z249" i="3" s="1"/>
  <c r="AC249" i="3" s="1"/>
  <c r="W529" i="3"/>
  <c r="Z529" i="3" s="1"/>
  <c r="AC529" i="3" s="1"/>
  <c r="W376" i="3"/>
  <c r="Z376" i="3" s="1"/>
  <c r="AC376" i="3" s="1"/>
  <c r="W509" i="3"/>
  <c r="Z509" i="3" s="1"/>
  <c r="AC509" i="3" s="1"/>
  <c r="W702" i="3"/>
  <c r="Z702" i="3" s="1"/>
  <c r="AC702" i="3" s="1"/>
  <c r="W357" i="3"/>
  <c r="Z357" i="3" s="1"/>
  <c r="AC357" i="3" s="1"/>
  <c r="W689" i="3"/>
  <c r="Z689" i="3" s="1"/>
  <c r="AC689" i="3" s="1"/>
  <c r="W442" i="3"/>
  <c r="Z442" i="3" s="1"/>
  <c r="AC442" i="3" s="1"/>
  <c r="W482" i="3"/>
  <c r="Z482" i="3" s="1"/>
  <c r="AC482" i="3" s="1"/>
  <c r="W502" i="3"/>
  <c r="Z502" i="3" s="1"/>
  <c r="AC502" i="3" s="1"/>
  <c r="W574" i="3"/>
  <c r="Z574" i="3" s="1"/>
  <c r="AC574" i="3" s="1"/>
  <c r="W613" i="3"/>
  <c r="Z613" i="3" s="1"/>
  <c r="AC613" i="3" s="1"/>
  <c r="W237" i="3"/>
  <c r="Z237" i="3" s="1"/>
  <c r="AC237" i="3" s="1"/>
  <c r="W255" i="3"/>
  <c r="Z255" i="3" s="1"/>
  <c r="AC255" i="3" s="1"/>
  <c r="W435" i="3"/>
  <c r="Z435" i="3" s="1"/>
  <c r="AC435" i="3" s="1"/>
  <c r="W497" i="3"/>
  <c r="Z497" i="3" s="1"/>
  <c r="AC497" i="3" s="1"/>
  <c r="W607" i="3"/>
  <c r="Z607" i="3" s="1"/>
  <c r="AC607" i="3" s="1"/>
  <c r="W676" i="3"/>
  <c r="Z676" i="3" s="1"/>
  <c r="AC676" i="3" s="1"/>
  <c r="W530" i="3"/>
  <c r="Z530" i="3" s="1"/>
  <c r="AC530" i="3" s="1"/>
  <c r="W129" i="3"/>
  <c r="Z129" i="3" s="1"/>
  <c r="W622" i="3"/>
  <c r="Z622" i="3" s="1"/>
  <c r="X272" i="3"/>
  <c r="W674" i="3"/>
  <c r="Z674" i="3" s="1"/>
  <c r="AC674" i="3" s="1"/>
  <c r="V277" i="3"/>
  <c r="T279" i="3"/>
  <c r="V521" i="3"/>
  <c r="T524" i="3"/>
  <c r="V524" i="3" s="1"/>
  <c r="T525" i="3"/>
  <c r="V525" i="3" s="1"/>
  <c r="T523" i="3"/>
  <c r="V523" i="3" s="1"/>
  <c r="V595" i="3"/>
  <c r="T597" i="3"/>
  <c r="T598" i="3"/>
  <c r="V598" i="3" s="1"/>
  <c r="W427" i="3"/>
  <c r="Z427" i="3" s="1"/>
  <c r="AC427" i="3" s="1"/>
  <c r="W508" i="3"/>
  <c r="Z508" i="3" s="1"/>
  <c r="AC508" i="3" s="1"/>
  <c r="W706" i="3"/>
  <c r="Z706" i="3" s="1"/>
  <c r="AC706" i="3" s="1"/>
  <c r="W329" i="3"/>
  <c r="Z329" i="3" s="1"/>
  <c r="AC329" i="3" s="1"/>
  <c r="W356" i="3"/>
  <c r="Z356" i="3" s="1"/>
  <c r="AC356" i="3" s="1"/>
  <c r="W523" i="3"/>
  <c r="Z523" i="3" s="1"/>
  <c r="AC523" i="3" s="1"/>
  <c r="W691" i="3"/>
  <c r="Z691" i="3" s="1"/>
  <c r="AC691" i="3" s="1"/>
  <c r="W441" i="3"/>
  <c r="Z441" i="3" s="1"/>
  <c r="AC441" i="3" s="1"/>
  <c r="W481" i="3"/>
  <c r="Z481" i="3" s="1"/>
  <c r="AC481" i="3" s="1"/>
  <c r="W573" i="3"/>
  <c r="Z573" i="3" s="1"/>
  <c r="AC573" i="3" s="1"/>
  <c r="W612" i="3"/>
  <c r="Z612" i="3" s="1"/>
  <c r="AC612" i="3" s="1"/>
  <c r="V326" i="3"/>
  <c r="T335" i="3"/>
  <c r="V335" i="3" s="1"/>
  <c r="T331" i="3"/>
  <c r="V331" i="3" s="1"/>
  <c r="T332" i="3"/>
  <c r="V332" i="3" s="1"/>
  <c r="T328" i="3"/>
  <c r="V328" i="3" s="1"/>
  <c r="T333" i="3"/>
  <c r="V333" i="3" s="1"/>
  <c r="T329" i="3"/>
  <c r="V329" i="3" s="1"/>
  <c r="T334" i="3"/>
  <c r="V334" i="3" s="1"/>
  <c r="T330" i="3"/>
  <c r="V330" i="3" s="1"/>
  <c r="V485" i="3"/>
  <c r="T487" i="3"/>
  <c r="V487" i="3" s="1"/>
  <c r="T488" i="3"/>
  <c r="V488" i="3" s="1"/>
  <c r="T489" i="3"/>
  <c r="V489" i="3" s="1"/>
  <c r="V576" i="3"/>
  <c r="T579" i="3"/>
  <c r="V579" i="3" s="1"/>
  <c r="T580" i="3"/>
  <c r="V580" i="3" s="1"/>
  <c r="T578" i="3"/>
  <c r="V578" i="3" s="1"/>
  <c r="W428" i="3"/>
  <c r="Z428" i="3" s="1"/>
  <c r="AC428" i="3" s="1"/>
  <c r="W620" i="3"/>
  <c r="Z620" i="3" s="1"/>
  <c r="AC620" i="3" s="1"/>
  <c r="W701" i="3"/>
  <c r="Z701" i="3" s="1"/>
  <c r="AC701" i="3" s="1"/>
  <c r="W700" i="3"/>
  <c r="Z700" i="3" s="1"/>
  <c r="AC700" i="3" s="1"/>
  <c r="W699" i="3"/>
  <c r="Z699" i="3" s="1"/>
  <c r="AC699" i="3" s="1"/>
  <c r="W334" i="3"/>
  <c r="Z334" i="3" s="1"/>
  <c r="AC334" i="3" s="1"/>
  <c r="W332" i="3"/>
  <c r="Z332" i="3" s="1"/>
  <c r="AC332" i="3" s="1"/>
  <c r="W488" i="3"/>
  <c r="Z488" i="3" s="1"/>
  <c r="AC488" i="3" s="1"/>
  <c r="W524" i="3"/>
  <c r="Z524" i="3" s="1"/>
  <c r="AC524" i="3" s="1"/>
  <c r="W580" i="3"/>
  <c r="Z580" i="3" s="1"/>
  <c r="AC580" i="3" s="1"/>
  <c r="W687" i="3"/>
  <c r="Z687" i="3" s="1"/>
  <c r="AC687" i="3" s="1"/>
  <c r="W347" i="3"/>
  <c r="Z347" i="3" s="1"/>
  <c r="AC347" i="3" s="1"/>
  <c r="W419" i="3"/>
  <c r="Z419" i="3" s="1"/>
  <c r="AC419" i="3" s="1"/>
  <c r="W443" i="3"/>
  <c r="Z443" i="3" s="1"/>
  <c r="AC443" i="3" s="1"/>
  <c r="W250" i="3"/>
  <c r="Z250" i="3" s="1"/>
  <c r="AC250" i="3" s="1"/>
  <c r="V344" i="3"/>
  <c r="T348" i="3"/>
  <c r="V348" i="3" s="1"/>
  <c r="T349" i="3"/>
  <c r="V349" i="3" s="1"/>
  <c r="T346" i="3"/>
  <c r="V346" i="3" s="1"/>
  <c r="T347" i="3"/>
  <c r="V347" i="3" s="1"/>
  <c r="V414" i="3"/>
  <c r="T416" i="3"/>
  <c r="V416" i="3" s="1"/>
  <c r="T417" i="3"/>
  <c r="V417" i="3" s="1"/>
  <c r="T418" i="3"/>
  <c r="V418" i="3" s="1"/>
  <c r="T419" i="3"/>
  <c r="V419" i="3" s="1"/>
  <c r="V500" i="3"/>
  <c r="T502" i="3"/>
  <c r="V502" i="3" s="1"/>
  <c r="T503" i="3"/>
  <c r="V503" i="3" s="1"/>
  <c r="T504" i="3"/>
  <c r="V504" i="3" s="1"/>
  <c r="V569" i="3"/>
  <c r="T571" i="3"/>
  <c r="V571" i="3" s="1"/>
  <c r="T572" i="3"/>
  <c r="V572" i="3" s="1"/>
  <c r="T573" i="3"/>
  <c r="V573" i="3" s="1"/>
  <c r="T574" i="3"/>
  <c r="V574" i="3" s="1"/>
  <c r="V637" i="3"/>
  <c r="T639" i="3"/>
  <c r="V639" i="3" s="1"/>
  <c r="T640" i="3"/>
  <c r="V242" i="3"/>
  <c r="T244" i="3"/>
  <c r="V244" i="3" s="1"/>
  <c r="T245" i="3"/>
  <c r="V245" i="3" s="1"/>
  <c r="W372" i="3"/>
  <c r="Z372" i="3" s="1"/>
  <c r="AC372" i="3" s="1"/>
  <c r="W429" i="3"/>
  <c r="Z429" i="3" s="1"/>
  <c r="AC429" i="3" s="1"/>
  <c r="W430" i="3"/>
  <c r="Z430" i="3" s="1"/>
  <c r="AC430" i="3" s="1"/>
  <c r="W510" i="3"/>
  <c r="Z510" i="3" s="1"/>
  <c r="AC510" i="3" s="1"/>
  <c r="W698" i="3"/>
  <c r="Z698" i="3" s="1"/>
  <c r="AC698" i="3" s="1"/>
  <c r="W697" i="3"/>
  <c r="Z697" i="3" s="1"/>
  <c r="AC697" i="3" s="1"/>
  <c r="W712" i="3"/>
  <c r="Z712" i="3" s="1"/>
  <c r="AC712" i="3" s="1"/>
  <c r="W711" i="3"/>
  <c r="Z711" i="3" s="1"/>
  <c r="AC711" i="3" s="1"/>
  <c r="W330" i="3"/>
  <c r="Z330" i="3" s="1"/>
  <c r="AC330" i="3" s="1"/>
  <c r="W328" i="3"/>
  <c r="W354" i="3"/>
  <c r="Z354" i="3" s="1"/>
  <c r="AC354" i="3" s="1"/>
  <c r="W525" i="3"/>
  <c r="Z525" i="3" s="1"/>
  <c r="AC525" i="3" s="1"/>
  <c r="W690" i="3"/>
  <c r="Z690" i="3" s="1"/>
  <c r="AC690" i="3" s="1"/>
  <c r="W692" i="3"/>
  <c r="Z692" i="3" s="1"/>
  <c r="AC692" i="3" s="1"/>
  <c r="W348" i="3"/>
  <c r="Z348" i="3" s="1"/>
  <c r="AC348" i="3" s="1"/>
  <c r="W416" i="3"/>
  <c r="Z416" i="3" s="1"/>
  <c r="AC416" i="3" s="1"/>
  <c r="W444" i="3"/>
  <c r="Z444" i="3" s="1"/>
  <c r="AC444" i="3" s="1"/>
  <c r="W478" i="3"/>
  <c r="Z478" i="3" s="1"/>
  <c r="AC478" i="3" s="1"/>
  <c r="W503" i="3"/>
  <c r="Z503" i="3" s="1"/>
  <c r="AC503" i="3" s="1"/>
  <c r="W571" i="3"/>
  <c r="Z571" i="3" s="1"/>
  <c r="AC571" i="3" s="1"/>
  <c r="W614" i="3"/>
  <c r="Z614" i="3" s="1"/>
  <c r="AC614" i="3" s="1"/>
  <c r="W233" i="3"/>
  <c r="Z233" i="3" s="1"/>
  <c r="AC233" i="3" s="1"/>
  <c r="W436" i="3"/>
  <c r="Z436" i="3" s="1"/>
  <c r="AC436" i="3" s="1"/>
  <c r="W498" i="3"/>
  <c r="Z498" i="3" s="1"/>
  <c r="AC498" i="3" s="1"/>
  <c r="W605" i="3"/>
  <c r="Z605" i="3" s="1"/>
  <c r="AC605" i="3" s="1"/>
  <c r="W672" i="3"/>
  <c r="Z672" i="3" s="1"/>
  <c r="AC672" i="3" s="1"/>
  <c r="W678" i="3"/>
  <c r="Z678" i="3" s="1"/>
  <c r="AC678" i="3" s="1"/>
  <c r="W627" i="3"/>
  <c r="Z627" i="3" s="1"/>
  <c r="X400" i="3"/>
  <c r="W587" i="3"/>
  <c r="Z587" i="3" s="1"/>
  <c r="W93" i="3"/>
  <c r="Z93" i="3" s="1"/>
  <c r="W205" i="3"/>
  <c r="Z205" i="3" s="1"/>
  <c r="W549" i="3"/>
  <c r="Z549" i="3" s="1"/>
  <c r="W312" i="3"/>
  <c r="Z312" i="3" s="1"/>
  <c r="AC312" i="3" s="1"/>
  <c r="X93" i="3"/>
  <c r="X205" i="3"/>
  <c r="X202" i="3"/>
  <c r="W310" i="3"/>
  <c r="Z310" i="3" s="1"/>
  <c r="W90" i="3"/>
  <c r="Z90" i="3" s="1"/>
  <c r="AC90" i="3" s="1"/>
  <c r="W576" i="3"/>
  <c r="Z576" i="3" s="1"/>
  <c r="AC576" i="3" s="1"/>
  <c r="W120" i="3"/>
  <c r="Z120" i="3" s="1"/>
  <c r="W26" i="3"/>
  <c r="Z26" i="3" s="1"/>
  <c r="W323" i="3"/>
  <c r="Z323" i="3" s="1"/>
  <c r="AC323" i="3" s="1"/>
  <c r="W75" i="3"/>
  <c r="Z75" i="3" s="1"/>
  <c r="S402" i="3"/>
  <c r="X402" i="3" s="1"/>
  <c r="AB402" i="3" s="1"/>
  <c r="X132" i="3"/>
  <c r="X326" i="3"/>
  <c r="X485" i="3"/>
  <c r="X129" i="3"/>
  <c r="X590" i="3"/>
  <c r="X277" i="3"/>
  <c r="W156" i="3"/>
  <c r="Z156" i="3" s="1"/>
  <c r="AC156" i="3" s="1"/>
  <c r="W154" i="3"/>
  <c r="Z154" i="3" s="1"/>
  <c r="AC154" i="3" s="1"/>
  <c r="W197" i="3"/>
  <c r="Z197" i="3" s="1"/>
  <c r="AC197" i="3" s="1"/>
  <c r="W199" i="3"/>
  <c r="Z199" i="3" s="1"/>
  <c r="AC199" i="3" s="1"/>
  <c r="W214" i="3"/>
  <c r="Z214" i="3" s="1"/>
  <c r="AC214" i="3" s="1"/>
  <c r="V38" i="3"/>
  <c r="R176" i="3"/>
  <c r="R177" i="3"/>
  <c r="R178" i="3"/>
  <c r="V166" i="3"/>
  <c r="T168" i="3"/>
  <c r="V168" i="3" s="1"/>
  <c r="T169" i="3"/>
  <c r="W155" i="3"/>
  <c r="Z155" i="3" s="1"/>
  <c r="AC155" i="3" s="1"/>
  <c r="W194" i="3"/>
  <c r="Z194" i="3" s="1"/>
  <c r="AC194" i="3" s="1"/>
  <c r="W200" i="3"/>
  <c r="Z200" i="3" s="1"/>
  <c r="AC200" i="3" s="1"/>
  <c r="W217" i="3"/>
  <c r="Z217" i="3" s="1"/>
  <c r="AC217" i="3" s="1"/>
  <c r="R188" i="3"/>
  <c r="R189" i="3"/>
  <c r="R190" i="3"/>
  <c r="T176" i="3"/>
  <c r="T177" i="3"/>
  <c r="T178" i="3"/>
  <c r="V208" i="3"/>
  <c r="T209" i="3"/>
  <c r="V209" i="3" s="1"/>
  <c r="T210" i="3"/>
  <c r="V210" i="3" s="1"/>
  <c r="W157" i="3"/>
  <c r="Z157" i="3" s="1"/>
  <c r="AC157" i="3" s="1"/>
  <c r="W159" i="3"/>
  <c r="Z159" i="3" s="1"/>
  <c r="AC159" i="3" s="1"/>
  <c r="W198" i="3"/>
  <c r="Z198" i="3" s="1"/>
  <c r="AC198" i="3" s="1"/>
  <c r="W195" i="3"/>
  <c r="Z195" i="3" s="1"/>
  <c r="AC195" i="3" s="1"/>
  <c r="W215" i="3"/>
  <c r="Z215" i="3" s="1"/>
  <c r="AC215" i="3" s="1"/>
  <c r="W644" i="3"/>
  <c r="Z644" i="3" s="1"/>
  <c r="W462" i="3"/>
  <c r="Z462" i="3" s="1"/>
  <c r="X63" i="3"/>
  <c r="W160" i="3"/>
  <c r="Z160" i="3" s="1"/>
  <c r="AC160" i="3" s="1"/>
  <c r="W158" i="3"/>
  <c r="Z158" i="3" s="1"/>
  <c r="AC158" i="3" s="1"/>
  <c r="W196" i="3"/>
  <c r="Z196" i="3" s="1"/>
  <c r="AC196" i="3" s="1"/>
  <c r="W216" i="3"/>
  <c r="Z216" i="3" s="1"/>
  <c r="AC216" i="3" s="1"/>
  <c r="W315" i="3"/>
  <c r="Z315" i="3" s="1"/>
  <c r="W552" i="3"/>
  <c r="Z552" i="3" s="1"/>
  <c r="S168" i="3"/>
  <c r="X168" i="3" s="1"/>
  <c r="X242" i="3"/>
  <c r="V51" i="3"/>
  <c r="W338" i="3"/>
  <c r="Z338" i="3" s="1"/>
  <c r="W166" i="3"/>
  <c r="Z166" i="3" s="1"/>
  <c r="W667" i="3"/>
  <c r="Z667" i="3" s="1"/>
  <c r="W239" i="3"/>
  <c r="Z239" i="3" s="1"/>
  <c r="AC239" i="3" s="1"/>
  <c r="W63" i="3"/>
  <c r="Z63" i="3" s="1"/>
  <c r="S559" i="3"/>
  <c r="X111" i="3"/>
  <c r="X252" i="3"/>
  <c r="X108" i="3"/>
  <c r="X600" i="3"/>
  <c r="V318" i="3"/>
  <c r="W48" i="3"/>
  <c r="Z48" i="3" s="1"/>
  <c r="W252" i="3"/>
  <c r="Z252" i="3" s="1"/>
  <c r="W432" i="3"/>
  <c r="Z432" i="3" s="1"/>
  <c r="W290" i="3"/>
  <c r="Z290" i="3" s="1"/>
  <c r="W111" i="3"/>
  <c r="Z111" i="3" s="1"/>
  <c r="W600" i="3"/>
  <c r="Z600" i="3" s="1"/>
  <c r="W641" i="3"/>
  <c r="Z641" i="3" s="1"/>
  <c r="W516" i="3"/>
  <c r="Z516" i="3" s="1"/>
  <c r="W344" i="3"/>
  <c r="Z344" i="3" s="1"/>
  <c r="S293" i="3"/>
  <c r="X293" i="3" s="1"/>
  <c r="AB293" i="3" s="1"/>
  <c r="S468" i="3"/>
  <c r="S639" i="3"/>
  <c r="S555" i="3"/>
  <c r="S558" i="3"/>
  <c r="X558" i="3" s="1"/>
  <c r="X57" i="3"/>
  <c r="X338" i="3"/>
  <c r="X667" i="3"/>
  <c r="X310" i="3"/>
  <c r="X166" i="3"/>
  <c r="AC166" i="3" s="1"/>
  <c r="X389" i="3"/>
  <c r="X174" i="3"/>
  <c r="AB174" i="3" s="1"/>
  <c r="X516" i="3"/>
  <c r="X465" i="3"/>
  <c r="W12" i="3"/>
  <c r="Z12" i="3" s="1"/>
  <c r="W96" i="3"/>
  <c r="Z96" i="3" s="1"/>
  <c r="W465" i="3"/>
  <c r="Z465" i="3" s="1"/>
  <c r="W389" i="3"/>
  <c r="Z389" i="3" s="1"/>
  <c r="S169" i="3"/>
  <c r="X169" i="3" s="1"/>
  <c r="AB169" i="3" s="1"/>
  <c r="S467" i="3"/>
  <c r="S557" i="3"/>
  <c r="X315" i="3"/>
  <c r="W378" i="3"/>
  <c r="Z378" i="3" s="1"/>
  <c r="W242" i="3"/>
  <c r="Z242" i="3" s="1"/>
  <c r="W364" i="3"/>
  <c r="Z364" i="3" s="1"/>
  <c r="W647" i="3"/>
  <c r="Z647" i="3" s="1"/>
  <c r="S298" i="3"/>
  <c r="X298" i="3" s="1"/>
  <c r="S554" i="3"/>
  <c r="X554" i="3" s="1"/>
  <c r="X208" i="3"/>
  <c r="X644" i="3"/>
  <c r="X96" i="3"/>
  <c r="X462" i="3"/>
  <c r="X641" i="3"/>
  <c r="X587" i="3"/>
  <c r="X141" i="3"/>
  <c r="X414" i="3"/>
  <c r="X647" i="3"/>
  <c r="X432" i="3"/>
  <c r="V29" i="3"/>
  <c r="V320" i="3"/>
  <c r="W447" i="3"/>
  <c r="Z447" i="3" s="1"/>
  <c r="W180" i="3"/>
  <c r="Z180" i="3" s="1"/>
  <c r="S304" i="3"/>
  <c r="X60" i="3"/>
  <c r="S450" i="3"/>
  <c r="X450" i="3" s="1"/>
  <c r="V15" i="3"/>
  <c r="V664" i="3"/>
  <c r="W72" i="3"/>
  <c r="Z72" i="3" s="1"/>
  <c r="W126" i="3"/>
  <c r="Z126" i="3" s="1"/>
  <c r="W533" i="3"/>
  <c r="Z533" i="3" s="1"/>
  <c r="W367" i="3"/>
  <c r="Z367" i="3" s="1"/>
  <c r="S386" i="3"/>
  <c r="X386" i="3" s="1"/>
  <c r="AB386" i="3" s="1"/>
  <c r="X533" i="3"/>
  <c r="X117" i="3"/>
  <c r="X180" i="3"/>
  <c r="V543" i="3"/>
  <c r="V323" i="3"/>
  <c r="W54" i="3"/>
  <c r="Z54" i="3" s="1"/>
  <c r="S630" i="3"/>
  <c r="X269" i="3"/>
  <c r="X447" i="3"/>
  <c r="X126" i="3"/>
  <c r="V312" i="3"/>
  <c r="X670" i="3"/>
  <c r="S172" i="3"/>
  <c r="X172" i="3" s="1"/>
  <c r="AB172" i="3" s="1"/>
  <c r="W78" i="3"/>
  <c r="Z78" i="3" s="1"/>
  <c r="V78" i="3"/>
  <c r="X186" i="3"/>
  <c r="AB186" i="3" s="1"/>
  <c r="X138" i="3"/>
  <c r="V138" i="3"/>
  <c r="W284" i="3"/>
  <c r="Z284" i="3" s="1"/>
  <c r="V284" i="3"/>
  <c r="W341" i="3"/>
  <c r="Z341" i="3" s="1"/>
  <c r="V341" i="3"/>
  <c r="W135" i="3"/>
  <c r="Z135" i="3" s="1"/>
  <c r="V135" i="3"/>
  <c r="W29" i="3"/>
  <c r="Z29" i="3" s="1"/>
  <c r="X147" i="3"/>
  <c r="X381" i="3"/>
  <c r="S20" i="3"/>
  <c r="X114" i="3"/>
  <c r="AC114" i="3" s="1"/>
  <c r="X247" i="3"/>
  <c r="AC247" i="3" s="1"/>
  <c r="X370" i="3"/>
  <c r="AC370" i="3" s="1"/>
  <c r="W257" i="3"/>
  <c r="Z257" i="3" s="1"/>
  <c r="V257" i="3"/>
  <c r="W609" i="3"/>
  <c r="Z609" i="3" s="1"/>
  <c r="T610" i="3"/>
  <c r="V610" i="3" s="1"/>
  <c r="X661" i="3"/>
  <c r="V661" i="3"/>
  <c r="W141" i="3"/>
  <c r="Z141" i="3" s="1"/>
  <c r="W414" i="3"/>
  <c r="Z414" i="3" s="1"/>
  <c r="X302" i="3"/>
  <c r="X344" i="3"/>
  <c r="X637" i="3"/>
  <c r="X170" i="3"/>
  <c r="X222" i="3"/>
  <c r="AC222" i="3" s="1"/>
  <c r="V307" i="3"/>
  <c r="V219" i="3"/>
  <c r="V23" i="3"/>
  <c r="V69" i="3"/>
  <c r="W302" i="3"/>
  <c r="Z302" i="3" s="1"/>
  <c r="W421" i="3"/>
  <c r="Z421" i="3" s="1"/>
  <c r="AC421" i="3" s="1"/>
  <c r="W685" i="3"/>
  <c r="Z685" i="3" s="1"/>
  <c r="W521" i="3"/>
  <c r="Z521" i="3" s="1"/>
  <c r="W664" i="3"/>
  <c r="Z664" i="3" s="1"/>
  <c r="AC664" i="3" s="1"/>
  <c r="W272" i="3"/>
  <c r="Z272" i="3" s="1"/>
  <c r="W680" i="3"/>
  <c r="W99" i="3"/>
  <c r="Z99" i="3" s="1"/>
  <c r="W287" i="3"/>
  <c r="Z287" i="3" s="1"/>
  <c r="W400" i="3"/>
  <c r="W403" i="3" s="1"/>
  <c r="Z403" i="3" s="1"/>
  <c r="W637" i="3"/>
  <c r="Z637" i="3" s="1"/>
  <c r="S171" i="3"/>
  <c r="S275" i="3"/>
  <c r="X275" i="3" s="1"/>
  <c r="AB275" i="3" s="1"/>
  <c r="S279" i="3"/>
  <c r="X352" i="3"/>
  <c r="X595" i="3"/>
  <c r="X680" i="3"/>
  <c r="X26" i="3"/>
  <c r="X622" i="3"/>
  <c r="V364" i="3"/>
  <c r="W225" i="3"/>
  <c r="Z225" i="3" s="1"/>
  <c r="V225" i="3"/>
  <c r="X151" i="3"/>
  <c r="W566" i="3"/>
  <c r="Z566" i="3" s="1"/>
  <c r="V566" i="3"/>
  <c r="X66" i="3"/>
  <c r="W212" i="3"/>
  <c r="Z212" i="3" s="1"/>
  <c r="X281" i="3"/>
  <c r="V281" i="3"/>
  <c r="W123" i="3"/>
  <c r="Z123" i="3" s="1"/>
  <c r="V123" i="3"/>
  <c r="S267" i="3"/>
  <c r="X513" i="3"/>
  <c r="AC513" i="3" s="1"/>
  <c r="S164" i="3"/>
  <c r="X164" i="3" s="1"/>
  <c r="AB164" i="3" s="1"/>
  <c r="X300" i="3"/>
  <c r="V300" i="3"/>
  <c r="W144" i="3"/>
  <c r="Z144" i="3" s="1"/>
  <c r="W81" i="3"/>
  <c r="Z81" i="3" s="1"/>
  <c r="X307" i="3"/>
  <c r="AC307" i="3" s="1"/>
  <c r="X627" i="3"/>
  <c r="X685" i="3"/>
  <c r="X38" i="3"/>
  <c r="W277" i="3"/>
  <c r="Z277" i="3" s="1"/>
  <c r="W540" i="3"/>
  <c r="Z540" i="3" s="1"/>
  <c r="W102" i="3"/>
  <c r="Z102" i="3" s="1"/>
  <c r="W87" i="3"/>
  <c r="Z87" i="3" s="1"/>
  <c r="W219" i="3"/>
  <c r="Z219" i="3" s="1"/>
  <c r="W569" i="3"/>
  <c r="Z569" i="3" s="1"/>
  <c r="S597" i="3"/>
  <c r="X597" i="3" s="1"/>
  <c r="S640" i="3"/>
  <c r="X29" i="3"/>
  <c r="AB29" i="3" s="1"/>
  <c r="Y29" i="3"/>
  <c r="AA29" i="3" s="1"/>
  <c r="X54" i="3"/>
  <c r="X102" i="3"/>
  <c r="X144" i="3"/>
  <c r="Y15" i="3"/>
  <c r="AA15" i="3" s="1"/>
  <c r="X569" i="3"/>
  <c r="X42" i="3"/>
  <c r="AC42" i="3" s="1"/>
  <c r="X99" i="3"/>
  <c r="X500" i="3"/>
  <c r="X295" i="3"/>
  <c r="X15" i="3"/>
  <c r="AB15" i="3" s="1"/>
  <c r="S449" i="3"/>
  <c r="X449" i="3" s="1"/>
  <c r="AB449" i="3" s="1"/>
  <c r="V174" i="3"/>
  <c r="V392" i="3"/>
  <c r="V456" i="3"/>
  <c r="W661" i="3"/>
  <c r="Z661" i="3" s="1"/>
  <c r="X318" i="3"/>
  <c r="AC318" i="3" s="1"/>
  <c r="W590" i="3"/>
  <c r="Z590" i="3" s="1"/>
  <c r="W192" i="3"/>
  <c r="Z192" i="3" s="1"/>
  <c r="AC192" i="3" s="1"/>
  <c r="W320" i="3"/>
  <c r="Z320" i="3" s="1"/>
  <c r="W456" i="3"/>
  <c r="Z456" i="3" s="1"/>
  <c r="W603" i="3"/>
  <c r="Z603" i="3" s="1"/>
  <c r="AC603" i="3" s="1"/>
  <c r="W491" i="3"/>
  <c r="Z491" i="3" s="1"/>
  <c r="W384" i="3"/>
  <c r="Z384" i="3" s="1"/>
  <c r="W459" i="3"/>
  <c r="Z459" i="3" s="1"/>
  <c r="AC459" i="3" s="1"/>
  <c r="S163" i="3"/>
  <c r="S292" i="3"/>
  <c r="S519" i="3"/>
  <c r="W519" i="3" s="1"/>
  <c r="Z519" i="3" s="1"/>
  <c r="X439" i="3"/>
  <c r="X536" i="3"/>
  <c r="X527" i="3"/>
  <c r="AC527" i="3" s="1"/>
  <c r="S387" i="3"/>
  <c r="X257" i="3"/>
  <c r="W162" i="3"/>
  <c r="Z162" i="3" s="1"/>
  <c r="AC162" i="3" s="1"/>
  <c r="W300" i="3"/>
  <c r="Z300" i="3" s="1"/>
  <c r="W632" i="3"/>
  <c r="Z632" i="3" s="1"/>
  <c r="W518" i="3"/>
  <c r="Z518" i="3" s="1"/>
  <c r="X341" i="3"/>
  <c r="X105" i="3"/>
  <c r="X654" i="3"/>
  <c r="W561" i="3"/>
  <c r="Z561" i="3" s="1"/>
  <c r="X566" i="3"/>
  <c r="W151" i="3"/>
  <c r="Z151" i="3" s="1"/>
  <c r="W616" i="3"/>
  <c r="Z616" i="3" s="1"/>
  <c r="S473" i="3"/>
  <c r="X135" i="3"/>
  <c r="X225" i="3"/>
  <c r="X561" i="3"/>
  <c r="X695" i="3"/>
  <c r="X84" i="3"/>
  <c r="AC84" i="3" s="1"/>
  <c r="X284" i="3"/>
  <c r="X231" i="3"/>
  <c r="X395" i="3"/>
  <c r="X424" i="3"/>
  <c r="W265" i="3"/>
  <c r="Z265" i="3" s="1"/>
  <c r="W138" i="3"/>
  <c r="Z138" i="3" s="1"/>
  <c r="W582" i="3"/>
  <c r="Z582" i="3" s="1"/>
  <c r="X408" i="3"/>
  <c r="AC408" i="3" s="1"/>
  <c r="X212" i="3"/>
  <c r="X470" i="3"/>
  <c r="X69" i="3"/>
  <c r="AC69" i="3" s="1"/>
  <c r="X392" i="3"/>
  <c r="AC392" i="3" s="1"/>
  <c r="N709" i="3"/>
  <c r="W295" i="3"/>
  <c r="Z295" i="3" s="1"/>
  <c r="W411" i="3"/>
  <c r="Z411" i="3" s="1"/>
  <c r="W452" i="3"/>
  <c r="Z452" i="3" s="1"/>
  <c r="X123" i="3"/>
  <c r="X32" i="3"/>
  <c r="AC32" i="3" s="1"/>
  <c r="X45" i="3"/>
  <c r="W395" i="3"/>
  <c r="Z395" i="3" s="1"/>
  <c r="W470" i="3"/>
  <c r="Z470" i="3" s="1"/>
  <c r="W670" i="3"/>
  <c r="Z670" i="3" s="1"/>
  <c r="W658" i="3"/>
  <c r="Z658" i="3" s="1"/>
  <c r="AC658" i="3" s="1"/>
  <c r="W281" i="3"/>
  <c r="Z281" i="3" s="1"/>
  <c r="W506" i="3"/>
  <c r="Z506" i="3" s="1"/>
  <c r="S398" i="3"/>
  <c r="S472" i="3"/>
  <c r="S585" i="3"/>
  <c r="S635" i="3"/>
  <c r="X452" i="3"/>
  <c r="X494" i="3"/>
  <c r="X359" i="3"/>
  <c r="X582" i="3"/>
  <c r="O709" i="3"/>
  <c r="P709" i="3"/>
  <c r="W153" i="3"/>
  <c r="Z153" i="3" s="1"/>
  <c r="AC153" i="3" s="1"/>
  <c r="W359" i="3"/>
  <c r="Z359" i="3" s="1"/>
  <c r="S453" i="3"/>
  <c r="X543" i="3"/>
  <c r="W546" i="3"/>
  <c r="Z546" i="3" s="1"/>
  <c r="AC546" i="3" s="1"/>
  <c r="S362" i="3"/>
  <c r="S634" i="3"/>
  <c r="W18" i="3"/>
  <c r="Z18" i="3" s="1"/>
  <c r="X265" i="3"/>
  <c r="X18" i="3"/>
  <c r="X12" i="3"/>
  <c r="AB12" i="3" s="1"/>
  <c r="S21" i="3"/>
  <c r="W23" i="3"/>
  <c r="Z23" i="3" s="1"/>
  <c r="AC23" i="3" s="1"/>
  <c r="W15" i="3"/>
  <c r="Z15" i="3" s="1"/>
  <c r="W174" i="3"/>
  <c r="Z174" i="3" s="1"/>
  <c r="S40" i="3"/>
  <c r="X35" i="3"/>
  <c r="AC35" i="3" s="1"/>
  <c r="W186" i="3"/>
  <c r="Z186" i="3" s="1"/>
  <c r="A66" i="3"/>
  <c r="A69" i="3" s="1"/>
  <c r="A72" i="3" s="1"/>
  <c r="A75" i="3" s="1"/>
  <c r="A78" i="3" s="1"/>
  <c r="A81" i="3" s="1"/>
  <c r="A84" i="3" s="1"/>
  <c r="A87" i="3" s="1"/>
  <c r="A90" i="3" s="1"/>
  <c r="A93" i="3" s="1"/>
  <c r="A96" i="3" s="1"/>
  <c r="A99" i="3" s="1"/>
  <c r="A102" i="3" s="1"/>
  <c r="A105" i="3" s="1"/>
  <c r="X518" i="3"/>
  <c r="AB518" i="3" s="1"/>
  <c r="W38" i="3"/>
  <c r="Z38" i="3" s="1"/>
  <c r="S39" i="3"/>
  <c r="X630" i="3"/>
  <c r="AB630" i="3" s="1"/>
  <c r="X584" i="3"/>
  <c r="X403" i="3"/>
  <c r="AB403" i="3" s="1"/>
  <c r="X397" i="3"/>
  <c r="AB397" i="3" s="1"/>
  <c r="X305" i="3"/>
  <c r="AB305" i="3" s="1"/>
  <c r="X274" i="3"/>
  <c r="AB274" i="3" s="1"/>
  <c r="X51" i="3"/>
  <c r="AB51" i="3" s="1"/>
  <c r="Y51" i="3"/>
  <c r="W51" i="3"/>
  <c r="Z51" i="3" s="1"/>
  <c r="AC405" i="3" l="1"/>
  <c r="AC287" i="3"/>
  <c r="AC147" i="3"/>
  <c r="AC78" i="3"/>
  <c r="AC57" i="3"/>
  <c r="W597" i="3"/>
  <c r="Z597" i="3" s="1"/>
  <c r="AC536" i="3"/>
  <c r="AC81" i="3"/>
  <c r="AC521" i="3"/>
  <c r="X454" i="3"/>
  <c r="AB454" i="3" s="1"/>
  <c r="AC320" i="3"/>
  <c r="W554" i="3"/>
  <c r="Z554" i="3" s="1"/>
  <c r="AC506" i="3"/>
  <c r="AC616" i="3"/>
  <c r="AC654" i="3"/>
  <c r="AC439" i="3"/>
  <c r="AC456" i="3"/>
  <c r="AC170" i="3"/>
  <c r="AC117" i="3"/>
  <c r="AC587" i="3"/>
  <c r="AC290" i="3"/>
  <c r="AC543" i="3"/>
  <c r="AC540" i="3"/>
  <c r="AC381" i="3"/>
  <c r="AC72" i="3"/>
  <c r="W598" i="3"/>
  <c r="Z598" i="3" s="1"/>
  <c r="AC491" i="3"/>
  <c r="AC352" i="3"/>
  <c r="AC367" i="3"/>
  <c r="AC60" i="3"/>
  <c r="AC462" i="3"/>
  <c r="W171" i="3"/>
  <c r="Z171" i="3" s="1"/>
  <c r="X474" i="3"/>
  <c r="AB474" i="3" s="1"/>
  <c r="W172" i="3"/>
  <c r="Z172" i="3" s="1"/>
  <c r="AC172" i="3" s="1"/>
  <c r="AC494" i="3"/>
  <c r="AC45" i="3"/>
  <c r="AC411" i="3"/>
  <c r="AC424" i="3"/>
  <c r="AC105" i="3"/>
  <c r="AC632" i="3"/>
  <c r="AC384" i="3"/>
  <c r="AC219" i="3"/>
  <c r="AC66" i="3"/>
  <c r="AC595" i="3"/>
  <c r="AC609" i="3"/>
  <c r="AC364" i="3"/>
  <c r="AC552" i="3"/>
  <c r="AC231" i="3"/>
  <c r="AC208" i="3"/>
  <c r="AC584" i="3"/>
  <c r="AC87" i="3"/>
  <c r="W263" i="3"/>
  <c r="Z263" i="3" s="1"/>
  <c r="AC263" i="3" s="1"/>
  <c r="AC549" i="3"/>
  <c r="AC476" i="3"/>
  <c r="Z680" i="3"/>
  <c r="AC680" i="3" s="1"/>
  <c r="W682" i="3"/>
  <c r="Z682" i="3" s="1"/>
  <c r="AC682" i="3" s="1"/>
  <c r="W262" i="3"/>
  <c r="Z262" i="3" s="1"/>
  <c r="AC262" i="3" s="1"/>
  <c r="AC48" i="3"/>
  <c r="AC378" i="3"/>
  <c r="Z328" i="3"/>
  <c r="W336" i="3"/>
  <c r="AC120" i="3"/>
  <c r="AC284" i="3"/>
  <c r="AC54" i="3"/>
  <c r="AC651" i="3"/>
  <c r="V468" i="3"/>
  <c r="W293" i="3"/>
  <c r="Z293" i="3" s="1"/>
  <c r="AC293" i="3" s="1"/>
  <c r="AC500" i="3"/>
  <c r="AC269" i="3"/>
  <c r="AC265" i="3"/>
  <c r="AC569" i="3"/>
  <c r="AC344" i="3"/>
  <c r="AC414" i="3"/>
  <c r="AC685" i="3"/>
  <c r="AC310" i="3"/>
  <c r="AC26" i="3"/>
  <c r="AC637" i="3"/>
  <c r="AC647" i="3"/>
  <c r="AC111" i="3"/>
  <c r="W629" i="3"/>
  <c r="Z629" i="3" s="1"/>
  <c r="AC629" i="3" s="1"/>
  <c r="AC135" i="3"/>
  <c r="AB554" i="3"/>
  <c r="AC554" i="3"/>
  <c r="W468" i="3"/>
  <c r="Z468" i="3" s="1"/>
  <c r="AC582" i="3"/>
  <c r="AC123" i="3"/>
  <c r="AC212" i="3"/>
  <c r="AC561" i="3"/>
  <c r="AC257" i="3"/>
  <c r="AC180" i="3"/>
  <c r="AC641" i="3"/>
  <c r="W305" i="3"/>
  <c r="Z305" i="3" s="1"/>
  <c r="AC305" i="3" s="1"/>
  <c r="W635" i="3"/>
  <c r="Z635" i="3" s="1"/>
  <c r="AC598" i="3"/>
  <c r="AC18" i="3"/>
  <c r="AC452" i="3"/>
  <c r="AC395" i="3"/>
  <c r="AC302" i="3"/>
  <c r="AC138" i="3"/>
  <c r="AC533" i="3"/>
  <c r="AC141" i="3"/>
  <c r="V467" i="3"/>
  <c r="AC516" i="3"/>
  <c r="AC108" i="3"/>
  <c r="AB597" i="3"/>
  <c r="AC597" i="3"/>
  <c r="AB592" i="3"/>
  <c r="AB450" i="3"/>
  <c r="AB558" i="3"/>
  <c r="AB485" i="3"/>
  <c r="AC485" i="3"/>
  <c r="AB205" i="3"/>
  <c r="AC205" i="3"/>
  <c r="AB272" i="3"/>
  <c r="AC272" i="3"/>
  <c r="AB183" i="3"/>
  <c r="AC183" i="3"/>
  <c r="AB75" i="3"/>
  <c r="AC75" i="3"/>
  <c r="AC470" i="3"/>
  <c r="AC695" i="3"/>
  <c r="W450" i="3"/>
  <c r="Z450" i="3" s="1"/>
  <c r="AC450" i="3" s="1"/>
  <c r="AC295" i="3"/>
  <c r="AC38" i="3"/>
  <c r="AC661" i="3"/>
  <c r="AC447" i="3"/>
  <c r="AC465" i="3"/>
  <c r="AC600" i="3"/>
  <c r="AC518" i="3"/>
  <c r="AC29" i="3"/>
  <c r="AB326" i="3"/>
  <c r="AC326" i="3"/>
  <c r="AB93" i="3"/>
  <c r="AC93" i="3"/>
  <c r="AB63" i="3"/>
  <c r="AC63" i="3"/>
  <c r="AB129" i="3"/>
  <c r="AC129" i="3"/>
  <c r="AB202" i="3"/>
  <c r="AC202" i="3"/>
  <c r="AB400" i="3"/>
  <c r="AC341" i="3"/>
  <c r="AC102" i="3"/>
  <c r="AC300" i="3"/>
  <c r="AC670" i="3"/>
  <c r="AC126" i="3"/>
  <c r="AC315" i="3"/>
  <c r="AC389" i="3"/>
  <c r="AC338" i="3"/>
  <c r="AC186" i="3"/>
  <c r="AC51" i="3"/>
  <c r="AB96" i="3"/>
  <c r="AC96" i="3"/>
  <c r="AB277" i="3"/>
  <c r="AC277" i="3"/>
  <c r="AB667" i="3"/>
  <c r="AC667" i="3"/>
  <c r="AB242" i="3"/>
  <c r="AC242" i="3"/>
  <c r="AB590" i="3"/>
  <c r="AC590" i="3"/>
  <c r="AB132" i="3"/>
  <c r="AC132" i="3"/>
  <c r="AB260" i="3"/>
  <c r="AC260" i="3"/>
  <c r="W266" i="3"/>
  <c r="Z266" i="3" s="1"/>
  <c r="AC266" i="3" s="1"/>
  <c r="W630" i="3"/>
  <c r="Z630" i="3" s="1"/>
  <c r="AC630" i="3" s="1"/>
  <c r="AC359" i="3"/>
  <c r="AC225" i="3"/>
  <c r="AC566" i="3"/>
  <c r="AC99" i="3"/>
  <c r="AC144" i="3"/>
  <c r="AC627" i="3"/>
  <c r="AC281" i="3"/>
  <c r="AC151" i="3"/>
  <c r="AC622" i="3"/>
  <c r="AC432" i="3"/>
  <c r="AC644" i="3"/>
  <c r="AC252" i="3"/>
  <c r="AC174" i="3"/>
  <c r="AC15" i="3"/>
  <c r="AC403" i="3"/>
  <c r="AC12" i="3"/>
  <c r="V169" i="3"/>
  <c r="W304" i="3"/>
  <c r="Z304" i="3" s="1"/>
  <c r="X468" i="3"/>
  <c r="V640" i="3"/>
  <c r="V494" i="3"/>
  <c r="T497" i="3"/>
  <c r="V497" i="3" s="1"/>
  <c r="T498" i="3"/>
  <c r="V498" i="3" s="1"/>
  <c r="T496" i="3"/>
  <c r="V496" i="3" s="1"/>
  <c r="V527" i="3"/>
  <c r="T529" i="3"/>
  <c r="V529" i="3" s="1"/>
  <c r="T530" i="3"/>
  <c r="V530" i="3" s="1"/>
  <c r="T531" i="3"/>
  <c r="V531" i="3" s="1"/>
  <c r="V302" i="3"/>
  <c r="T304" i="3"/>
  <c r="V304" i="3" s="1"/>
  <c r="T305" i="3"/>
  <c r="V305" i="3" s="1"/>
  <c r="V590" i="3"/>
  <c r="T592" i="3"/>
  <c r="V592" i="3" s="1"/>
  <c r="T593" i="3"/>
  <c r="V593" i="3" s="1"/>
  <c r="V452" i="3"/>
  <c r="T453" i="3"/>
  <c r="V453" i="3" s="1"/>
  <c r="T454" i="3"/>
  <c r="V454" i="3" s="1"/>
  <c r="V260" i="3"/>
  <c r="T262" i="3"/>
  <c r="V262" i="3" s="1"/>
  <c r="T263" i="3"/>
  <c r="V263" i="3" s="1"/>
  <c r="V582" i="3"/>
  <c r="T584" i="3"/>
  <c r="V584" i="3" s="1"/>
  <c r="T585" i="3"/>
  <c r="V585" i="3" s="1"/>
  <c r="V265" i="3"/>
  <c r="T266" i="3"/>
  <c r="V266" i="3" s="1"/>
  <c r="T267" i="3"/>
  <c r="V267" i="3" s="1"/>
  <c r="V395" i="3"/>
  <c r="T397" i="3"/>
  <c r="V397" i="3" s="1"/>
  <c r="T398" i="3"/>
  <c r="V398" i="3" s="1"/>
  <c r="V439" i="3"/>
  <c r="T442" i="3"/>
  <c r="V442" i="3" s="1"/>
  <c r="T443" i="3"/>
  <c r="V443" i="3" s="1"/>
  <c r="T444" i="3"/>
  <c r="V444" i="3" s="1"/>
  <c r="T445" i="3"/>
  <c r="V445" i="3" s="1"/>
  <c r="T441" i="3"/>
  <c r="V441" i="3" s="1"/>
  <c r="V506" i="3"/>
  <c r="T508" i="3"/>
  <c r="V508" i="3" s="1"/>
  <c r="T509" i="3"/>
  <c r="V509" i="3" s="1"/>
  <c r="T510" i="3"/>
  <c r="V510" i="3" s="1"/>
  <c r="T511" i="3"/>
  <c r="V511" i="3" s="1"/>
  <c r="V237" i="3"/>
  <c r="V609" i="3"/>
  <c r="T612" i="3"/>
  <c r="V612" i="3" s="1"/>
  <c r="T613" i="3"/>
  <c r="V613" i="3" s="1"/>
  <c r="T614" i="3"/>
  <c r="V614" i="3" s="1"/>
  <c r="T615" i="3"/>
  <c r="V615" i="3" s="1"/>
  <c r="V370" i="3"/>
  <c r="T373" i="3"/>
  <c r="V373" i="3" s="1"/>
  <c r="T374" i="3"/>
  <c r="V374" i="3" s="1"/>
  <c r="T375" i="3"/>
  <c r="V375" i="3" s="1"/>
  <c r="T376" i="3"/>
  <c r="V376" i="3" s="1"/>
  <c r="T372" i="3"/>
  <c r="V372" i="3" s="1"/>
  <c r="V272" i="3"/>
  <c r="T274" i="3"/>
  <c r="V274" i="3" s="1"/>
  <c r="T275" i="3"/>
  <c r="V275" i="3" s="1"/>
  <c r="V603" i="3"/>
  <c r="T605" i="3"/>
  <c r="V605" i="3" s="1"/>
  <c r="T606" i="3"/>
  <c r="V606" i="3" s="1"/>
  <c r="T607" i="3"/>
  <c r="V607" i="3" s="1"/>
  <c r="V290" i="3"/>
  <c r="T292" i="3"/>
  <c r="V292" i="3" s="1"/>
  <c r="T293" i="3"/>
  <c r="V293" i="3" s="1"/>
  <c r="V359" i="3"/>
  <c r="T361" i="3"/>
  <c r="V361" i="3" s="1"/>
  <c r="T362" i="3"/>
  <c r="V362" i="3" s="1"/>
  <c r="V247" i="3"/>
  <c r="T249" i="3"/>
  <c r="V249" i="3" s="1"/>
  <c r="T250" i="3"/>
  <c r="V250" i="3" s="1"/>
  <c r="V295" i="3"/>
  <c r="T297" i="3"/>
  <c r="V297" i="3" s="1"/>
  <c r="T298" i="3"/>
  <c r="V298" i="3" s="1"/>
  <c r="V352" i="3"/>
  <c r="T356" i="3"/>
  <c r="V356" i="3" s="1"/>
  <c r="T357" i="3"/>
  <c r="V357" i="3" s="1"/>
  <c r="T354" i="3"/>
  <c r="V354" i="3" s="1"/>
  <c r="T355" i="3"/>
  <c r="V355" i="3" s="1"/>
  <c r="V670" i="3"/>
  <c r="T675" i="3"/>
  <c r="V675" i="3" s="1"/>
  <c r="T676" i="3"/>
  <c r="V676" i="3" s="1"/>
  <c r="T672" i="3"/>
  <c r="V672" i="3" s="1"/>
  <c r="T677" i="3"/>
  <c r="V677" i="3" s="1"/>
  <c r="T673" i="3"/>
  <c r="V673" i="3" s="1"/>
  <c r="T678" i="3"/>
  <c r="V678" i="3" s="1"/>
  <c r="T674" i="3"/>
  <c r="V674" i="3" s="1"/>
  <c r="V470" i="3"/>
  <c r="T473" i="3"/>
  <c r="V473" i="3" s="1"/>
  <c r="T474" i="3"/>
  <c r="V474" i="3" s="1"/>
  <c r="T472" i="3"/>
  <c r="V472" i="3" s="1"/>
  <c r="V516" i="3"/>
  <c r="T518" i="3"/>
  <c r="V518" i="3" s="1"/>
  <c r="T519" i="3"/>
  <c r="V519" i="3" s="1"/>
  <c r="V627" i="3"/>
  <c r="T629" i="3"/>
  <c r="V629" i="3" s="1"/>
  <c r="T630" i="3"/>
  <c r="V630" i="3" s="1"/>
  <c r="V680" i="3"/>
  <c r="T683" i="3"/>
  <c r="V683" i="3" s="1"/>
  <c r="V424" i="3"/>
  <c r="T429" i="3"/>
  <c r="V429" i="3" s="1"/>
  <c r="T430" i="3"/>
  <c r="V430" i="3" s="1"/>
  <c r="T426" i="3"/>
  <c r="V426" i="3" s="1"/>
  <c r="T427" i="3"/>
  <c r="V427" i="3" s="1"/>
  <c r="T428" i="3"/>
  <c r="V428" i="3" s="1"/>
  <c r="V695" i="3"/>
  <c r="T710" i="3"/>
  <c r="V710" i="3" s="1"/>
  <c r="T706" i="3"/>
  <c r="V706" i="3" s="1"/>
  <c r="T702" i="3"/>
  <c r="V702" i="3" s="1"/>
  <c r="T698" i="3"/>
  <c r="V698" i="3" s="1"/>
  <c r="T711" i="3"/>
  <c r="V711" i="3" s="1"/>
  <c r="T707" i="3"/>
  <c r="V707" i="3" s="1"/>
  <c r="T699" i="3"/>
  <c r="V699" i="3" s="1"/>
  <c r="T712" i="3"/>
  <c r="V712" i="3" s="1"/>
  <c r="T708" i="3"/>
  <c r="V708" i="3" s="1"/>
  <c r="T700" i="3"/>
  <c r="V700" i="3" s="1"/>
  <c r="T709" i="3"/>
  <c r="V709" i="3" s="1"/>
  <c r="T705" i="3"/>
  <c r="V705" i="3" s="1"/>
  <c r="T701" i="3"/>
  <c r="V701" i="3" s="1"/>
  <c r="T697" i="3"/>
  <c r="V697" i="3" s="1"/>
  <c r="V476" i="3"/>
  <c r="T482" i="3"/>
  <c r="V482" i="3" s="1"/>
  <c r="T478" i="3"/>
  <c r="V478" i="3" s="1"/>
  <c r="T483" i="3"/>
  <c r="V483" i="3" s="1"/>
  <c r="T479" i="3"/>
  <c r="V479" i="3" s="1"/>
  <c r="T480" i="3"/>
  <c r="V480" i="3" s="1"/>
  <c r="T481" i="3"/>
  <c r="V481" i="3" s="1"/>
  <c r="V384" i="3"/>
  <c r="T386" i="3"/>
  <c r="V386" i="3" s="1"/>
  <c r="T387" i="3"/>
  <c r="V387" i="3" s="1"/>
  <c r="V616" i="3"/>
  <c r="T619" i="3"/>
  <c r="V619" i="3" s="1"/>
  <c r="T620" i="3"/>
  <c r="V620" i="3" s="1"/>
  <c r="T618" i="3"/>
  <c r="V618" i="3" s="1"/>
  <c r="V632" i="3"/>
  <c r="T634" i="3"/>
  <c r="V634" i="3" s="1"/>
  <c r="T635" i="3"/>
  <c r="V635" i="3" s="1"/>
  <c r="V552" i="3"/>
  <c r="T556" i="3"/>
  <c r="V556" i="3" s="1"/>
  <c r="T557" i="3"/>
  <c r="V557" i="3" s="1"/>
  <c r="T558" i="3"/>
  <c r="T554" i="3"/>
  <c r="V554" i="3" s="1"/>
  <c r="T559" i="3"/>
  <c r="T555" i="3"/>
  <c r="V555" i="3" s="1"/>
  <c r="V400" i="3"/>
  <c r="T402" i="3"/>
  <c r="V402" i="3" s="1"/>
  <c r="T403" i="3"/>
  <c r="V403" i="3" s="1"/>
  <c r="W298" i="3"/>
  <c r="Z298" i="3" s="1"/>
  <c r="AC298" i="3" s="1"/>
  <c r="X267" i="3"/>
  <c r="X398" i="3"/>
  <c r="X640" i="3"/>
  <c r="AB640" i="3" s="1"/>
  <c r="V597" i="3"/>
  <c r="V279" i="3"/>
  <c r="V170" i="3"/>
  <c r="T172" i="3"/>
  <c r="V172" i="3" s="1"/>
  <c r="T171" i="3"/>
  <c r="V171" i="3" s="1"/>
  <c r="W188" i="3"/>
  <c r="Z188" i="3" s="1"/>
  <c r="AC188" i="3" s="1"/>
  <c r="W176" i="3"/>
  <c r="Z176" i="3" s="1"/>
  <c r="AC176" i="3" s="1"/>
  <c r="V176" i="3"/>
  <c r="V151" i="3"/>
  <c r="T158" i="3"/>
  <c r="V158" i="3" s="1"/>
  <c r="T154" i="3"/>
  <c r="V154" i="3" s="1"/>
  <c r="T159" i="3"/>
  <c r="V159" i="3" s="1"/>
  <c r="T155" i="3"/>
  <c r="V155" i="3" s="1"/>
  <c r="T160" i="3"/>
  <c r="V160" i="3" s="1"/>
  <c r="T156" i="3"/>
  <c r="V156" i="3" s="1"/>
  <c r="T157" i="3"/>
  <c r="V157" i="3" s="1"/>
  <c r="T153" i="3"/>
  <c r="V153" i="3" s="1"/>
  <c r="V18" i="3"/>
  <c r="T20" i="3"/>
  <c r="V20" i="3" s="1"/>
  <c r="T21" i="3"/>
  <c r="V21" i="3" s="1"/>
  <c r="W189" i="3"/>
  <c r="Z189" i="3" s="1"/>
  <c r="AC189" i="3" s="1"/>
  <c r="W177" i="3"/>
  <c r="Z177" i="3" s="1"/>
  <c r="AC177" i="3" s="1"/>
  <c r="V177" i="3"/>
  <c r="X635" i="3"/>
  <c r="X563" i="3"/>
  <c r="V192" i="3"/>
  <c r="T200" i="3"/>
  <c r="V200" i="3" s="1"/>
  <c r="T196" i="3"/>
  <c r="V196" i="3" s="1"/>
  <c r="T197" i="3"/>
  <c r="V197" i="3" s="1"/>
  <c r="T198" i="3"/>
  <c r="V198" i="3" s="1"/>
  <c r="T194" i="3"/>
  <c r="V194" i="3" s="1"/>
  <c r="T199" i="3"/>
  <c r="V199" i="3" s="1"/>
  <c r="T195" i="3"/>
  <c r="V195" i="3" s="1"/>
  <c r="V186" i="3"/>
  <c r="T188" i="3"/>
  <c r="V188" i="3" s="1"/>
  <c r="T189" i="3"/>
  <c r="V189" i="3" s="1"/>
  <c r="T190" i="3"/>
  <c r="V190" i="3" s="1"/>
  <c r="W190" i="3"/>
  <c r="Z190" i="3" s="1"/>
  <c r="AC190" i="3" s="1"/>
  <c r="V178" i="3"/>
  <c r="W178" i="3"/>
  <c r="Z178" i="3" s="1"/>
  <c r="AC178" i="3" s="1"/>
  <c r="X467" i="3"/>
  <c r="X555" i="3"/>
  <c r="Z400" i="3"/>
  <c r="AC400" i="3" s="1"/>
  <c r="V162" i="3"/>
  <c r="T164" i="3"/>
  <c r="V164" i="3" s="1"/>
  <c r="T163" i="3"/>
  <c r="V163" i="3" s="1"/>
  <c r="V212" i="3"/>
  <c r="T214" i="3"/>
  <c r="V214" i="3" s="1"/>
  <c r="T215" i="3"/>
  <c r="V215" i="3" s="1"/>
  <c r="T216" i="3"/>
  <c r="V216" i="3" s="1"/>
  <c r="T217" i="3"/>
  <c r="V217" i="3" s="1"/>
  <c r="X559" i="3"/>
  <c r="W555" i="3"/>
  <c r="Z555" i="3" s="1"/>
  <c r="W467" i="3"/>
  <c r="Z467" i="3" s="1"/>
  <c r="W557" i="3"/>
  <c r="Z557" i="3" s="1"/>
  <c r="AB582" i="3"/>
  <c r="AB561" i="3"/>
  <c r="AB654" i="3"/>
  <c r="AB536" i="3"/>
  <c r="AB99" i="3"/>
  <c r="AB627" i="3"/>
  <c r="AB595" i="3"/>
  <c r="AB170" i="3"/>
  <c r="AB661" i="3"/>
  <c r="AB247" i="3"/>
  <c r="AB147" i="3"/>
  <c r="AB414" i="3"/>
  <c r="AB208" i="3"/>
  <c r="AB166" i="3"/>
  <c r="AB111" i="3"/>
  <c r="AB470" i="3"/>
  <c r="AB685" i="3"/>
  <c r="AB513" i="3"/>
  <c r="AB281" i="3"/>
  <c r="AB680" i="3"/>
  <c r="AB222" i="3"/>
  <c r="AB126" i="3"/>
  <c r="AB117" i="3"/>
  <c r="AB647" i="3"/>
  <c r="AB644" i="3"/>
  <c r="AB389" i="3"/>
  <c r="AB338" i="3"/>
  <c r="AB252" i="3"/>
  <c r="AB359" i="3"/>
  <c r="AB32" i="3"/>
  <c r="AB392" i="3"/>
  <c r="AB408" i="3"/>
  <c r="AB284" i="3"/>
  <c r="AB225" i="3"/>
  <c r="AB566" i="3"/>
  <c r="AB105" i="3"/>
  <c r="AB257" i="3"/>
  <c r="AB439" i="3"/>
  <c r="AB318" i="3"/>
  <c r="AB42" i="3"/>
  <c r="AB102" i="3"/>
  <c r="AB307" i="3"/>
  <c r="AB622" i="3"/>
  <c r="AB352" i="3"/>
  <c r="AB637" i="3"/>
  <c r="AB269" i="3"/>
  <c r="AB141" i="3"/>
  <c r="AB516" i="3"/>
  <c r="AB310" i="3"/>
  <c r="AB600" i="3"/>
  <c r="X557" i="3"/>
  <c r="W402" i="3"/>
  <c r="Z402" i="3" s="1"/>
  <c r="AC402" i="3" s="1"/>
  <c r="W169" i="3"/>
  <c r="Z169" i="3" s="1"/>
  <c r="AC169" i="3" s="1"/>
  <c r="W163" i="3"/>
  <c r="Z163" i="3" s="1"/>
  <c r="W275" i="3"/>
  <c r="Z275" i="3" s="1"/>
  <c r="AC275" i="3" s="1"/>
  <c r="W292" i="3"/>
  <c r="Z292" i="3" s="1"/>
  <c r="W683" i="3"/>
  <c r="Z683" i="3" s="1"/>
  <c r="AC683" i="3" s="1"/>
  <c r="X279" i="3"/>
  <c r="X564" i="3"/>
  <c r="AB45" i="3"/>
  <c r="AB212" i="3"/>
  <c r="AB231" i="3"/>
  <c r="AB144" i="3"/>
  <c r="AB670" i="3"/>
  <c r="AB447" i="3"/>
  <c r="AB533" i="3"/>
  <c r="AB60" i="3"/>
  <c r="AB462" i="3"/>
  <c r="AB57" i="3"/>
  <c r="AB543" i="3"/>
  <c r="AB395" i="3"/>
  <c r="AB695" i="3"/>
  <c r="AB527" i="3"/>
  <c r="AB500" i="3"/>
  <c r="AB300" i="3"/>
  <c r="AB66" i="3"/>
  <c r="AB151" i="3"/>
  <c r="AB302" i="3"/>
  <c r="AB641" i="3"/>
  <c r="AB465" i="3"/>
  <c r="AB35" i="3"/>
  <c r="AB18" i="3"/>
  <c r="AB265" i="3"/>
  <c r="AB494" i="3"/>
  <c r="AB123" i="3"/>
  <c r="AB69" i="3"/>
  <c r="AB424" i="3"/>
  <c r="AB84" i="3"/>
  <c r="AB135" i="3"/>
  <c r="AB341" i="3"/>
  <c r="AB295" i="3"/>
  <c r="AB569" i="3"/>
  <c r="AB54" i="3"/>
  <c r="AB38" i="3"/>
  <c r="AB26" i="3"/>
  <c r="AB344" i="3"/>
  <c r="AB370" i="3"/>
  <c r="AB114" i="3"/>
  <c r="AB381" i="3"/>
  <c r="AB138" i="3"/>
  <c r="AB180" i="3"/>
  <c r="AB432" i="3"/>
  <c r="AB587" i="3"/>
  <c r="AB315" i="3"/>
  <c r="AB108" i="3"/>
  <c r="W168" i="3"/>
  <c r="Z168" i="3" s="1"/>
  <c r="AC168" i="3" s="1"/>
  <c r="W279" i="3"/>
  <c r="Z279" i="3" s="1"/>
  <c r="W274" i="3"/>
  <c r="Z274" i="3" s="1"/>
  <c r="AC274" i="3" s="1"/>
  <c r="X639" i="3"/>
  <c r="W164" i="3"/>
  <c r="Z164" i="3" s="1"/>
  <c r="AC164" i="3" s="1"/>
  <c r="W267" i="3"/>
  <c r="Z267" i="3" s="1"/>
  <c r="W592" i="3"/>
  <c r="Z592" i="3" s="1"/>
  <c r="AC592" i="3" s="1"/>
  <c r="X163" i="3"/>
  <c r="X171" i="3"/>
  <c r="AC171" i="3" s="1"/>
  <c r="X304" i="3"/>
  <c r="W593" i="3"/>
  <c r="Z593" i="3" s="1"/>
  <c r="AC593" i="3" s="1"/>
  <c r="W453" i="3"/>
  <c r="Z453" i="3" s="1"/>
  <c r="W556" i="3"/>
  <c r="Z556" i="3" s="1"/>
  <c r="AC556" i="3" s="1"/>
  <c r="W585" i="3"/>
  <c r="Z585" i="3" s="1"/>
  <c r="X519" i="3"/>
  <c r="AC519" i="3" s="1"/>
  <c r="X21" i="3"/>
  <c r="X634" i="3"/>
  <c r="W639" i="3"/>
  <c r="Z639" i="3" s="1"/>
  <c r="W640" i="3"/>
  <c r="Z640" i="3" s="1"/>
  <c r="X292" i="3"/>
  <c r="X362" i="3"/>
  <c r="W472" i="3"/>
  <c r="Z472" i="3" s="1"/>
  <c r="W449" i="3"/>
  <c r="Z449" i="3" s="1"/>
  <c r="AC449" i="3" s="1"/>
  <c r="V449" i="3"/>
  <c r="X39" i="3"/>
  <c r="V39" i="3"/>
  <c r="Z709" i="3"/>
  <c r="Y709" i="3"/>
  <c r="AA709" i="3" s="1"/>
  <c r="X709" i="3"/>
  <c r="X387" i="3"/>
  <c r="X40" i="3"/>
  <c r="V40" i="3"/>
  <c r="W473" i="3"/>
  <c r="Z473" i="3" s="1"/>
  <c r="X472" i="3"/>
  <c r="W634" i="3"/>
  <c r="Z634" i="3" s="1"/>
  <c r="X453" i="3"/>
  <c r="X20" i="3"/>
  <c r="W387" i="3"/>
  <c r="Z387" i="3" s="1"/>
  <c r="W564" i="3"/>
  <c r="Z564" i="3" s="1"/>
  <c r="W21" i="3"/>
  <c r="Z21" i="3" s="1"/>
  <c r="W386" i="3"/>
  <c r="Z386" i="3" s="1"/>
  <c r="AC386" i="3" s="1"/>
  <c r="W563" i="3"/>
  <c r="Z563" i="3" s="1"/>
  <c r="X473" i="3"/>
  <c r="AB452" i="3"/>
  <c r="W361" i="3"/>
  <c r="Z361" i="3" s="1"/>
  <c r="AC361" i="3" s="1"/>
  <c r="W362" i="3"/>
  <c r="Z362" i="3" s="1"/>
  <c r="W398" i="3"/>
  <c r="Z398" i="3" s="1"/>
  <c r="W20" i="3"/>
  <c r="Z20" i="3" s="1"/>
  <c r="X585" i="3"/>
  <c r="W397" i="3"/>
  <c r="Z397" i="3" s="1"/>
  <c r="AC397" i="3" s="1"/>
  <c r="W297" i="3"/>
  <c r="Z297" i="3" s="1"/>
  <c r="AC297" i="3" s="1"/>
  <c r="A108" i="3"/>
  <c r="AA51" i="3"/>
  <c r="W40" i="3"/>
  <c r="Z40" i="3" s="1"/>
  <c r="W39" i="3"/>
  <c r="Z39" i="3" s="1"/>
  <c r="AB584" i="3"/>
  <c r="AB598" i="3"/>
  <c r="AB298" i="3"/>
  <c r="AB168" i="3"/>
  <c r="X722" i="3"/>
  <c r="Z722" i="3"/>
  <c r="AC474" i="3" l="1"/>
  <c r="AC163" i="3"/>
  <c r="AC454" i="3"/>
  <c r="AC328" i="3"/>
  <c r="AC336" i="3" s="1"/>
  <c r="Z336" i="3"/>
  <c r="AC304" i="3"/>
  <c r="AC292" i="3"/>
  <c r="AC473" i="3"/>
  <c r="AC453" i="3"/>
  <c r="AC362" i="3"/>
  <c r="AC585" i="3"/>
  <c r="AC709" i="3"/>
  <c r="AC21" i="3"/>
  <c r="AB467" i="3"/>
  <c r="AC467" i="3"/>
  <c r="AB555" i="3"/>
  <c r="AC555" i="3"/>
  <c r="AB398" i="3"/>
  <c r="AC398" i="3"/>
  <c r="AC639" i="3"/>
  <c r="AC387" i="3"/>
  <c r="AC279" i="3"/>
  <c r="AB563" i="3"/>
  <c r="AC563" i="3"/>
  <c r="AB557" i="3"/>
  <c r="AC557" i="3"/>
  <c r="AB468" i="3"/>
  <c r="AC468" i="3"/>
  <c r="AC634" i="3"/>
  <c r="AC564" i="3"/>
  <c r="AC640" i="3"/>
  <c r="AB267" i="3"/>
  <c r="AC267" i="3"/>
  <c r="AB559" i="3"/>
  <c r="AB635" i="3"/>
  <c r="AC635" i="3"/>
  <c r="AC20" i="3"/>
  <c r="AC472" i="3"/>
  <c r="AC40" i="3"/>
  <c r="AC39" i="3"/>
  <c r="AB473" i="3"/>
  <c r="AB163" i="3"/>
  <c r="AB387" i="3"/>
  <c r="AB171" i="3"/>
  <c r="AB453" i="3"/>
  <c r="AB39" i="3"/>
  <c r="AB279" i="3"/>
  <c r="AB585" i="3"/>
  <c r="AB21" i="3"/>
  <c r="AB639" i="3"/>
  <c r="AB564" i="3"/>
  <c r="AB20" i="3"/>
  <c r="AB472" i="3"/>
  <c r="AB40" i="3"/>
  <c r="AB292" i="3"/>
  <c r="AB634" i="3"/>
  <c r="AB519" i="3"/>
  <c r="AB304" i="3"/>
  <c r="AB362" i="3"/>
  <c r="AB709" i="3"/>
  <c r="W558" i="3"/>
  <c r="Z558" i="3" s="1"/>
  <c r="AC558" i="3" s="1"/>
  <c r="V558" i="3"/>
  <c r="W559" i="3"/>
  <c r="Z559" i="3" s="1"/>
  <c r="AC559" i="3" s="1"/>
  <c r="V559" i="3"/>
  <c r="A111" i="3"/>
  <c r="A114" i="3" s="1"/>
  <c r="A117" i="3" l="1"/>
  <c r="A120" i="3" l="1"/>
  <c r="A123" i="3" s="1"/>
  <c r="A126" i="3" s="1"/>
  <c r="A129" i="3" s="1"/>
  <c r="A132" i="3" s="1"/>
  <c r="A135" i="3" s="1"/>
  <c r="A138" i="3" s="1"/>
  <c r="A141" i="3" s="1"/>
  <c r="A144" i="3" s="1"/>
  <c r="A147" i="3" s="1"/>
  <c r="A151" i="3" s="1"/>
  <c r="A162" i="3" s="1"/>
  <c r="A166" i="3" s="1"/>
  <c r="A170" i="3" s="1"/>
  <c r="A174" i="3" s="1"/>
  <c r="A180" i="3" s="1"/>
  <c r="A183" i="3" s="1"/>
  <c r="A186" i="3" s="1"/>
  <c r="A192" i="3" s="1"/>
  <c r="A202" i="3" s="1"/>
  <c r="A205" i="3" s="1"/>
  <c r="A208" i="3" s="1"/>
  <c r="A212" i="3" s="1"/>
  <c r="A219" i="3" s="1"/>
  <c r="A222" i="3" s="1"/>
  <c r="A225" i="3" s="1"/>
  <c r="A231" i="3" s="1"/>
  <c r="A239" i="3" s="1"/>
  <c r="A242" i="3" s="1"/>
  <c r="A247" i="3" s="1"/>
  <c r="A252" i="3" l="1"/>
  <c r="A257" i="3"/>
  <c r="A260" i="3" l="1"/>
  <c r="A265" i="3" s="1"/>
  <c r="A269" i="3" s="1"/>
  <c r="A272" i="3" s="1"/>
  <c r="A277" i="3" s="1"/>
  <c r="A281" i="3" s="1"/>
  <c r="A284" i="3" s="1"/>
  <c r="A287" i="3" s="1"/>
  <c r="A290" i="3" s="1"/>
  <c r="A295" i="3" s="1"/>
  <c r="A300" i="3" s="1"/>
  <c r="A302" i="3" s="1"/>
  <c r="A307" i="3" s="1"/>
  <c r="A310" i="3" s="1"/>
  <c r="A312" i="3" s="1"/>
  <c r="A315" i="3" s="1"/>
  <c r="A318" i="3" s="1"/>
  <c r="A320" i="3" s="1"/>
  <c r="A323" i="3" s="1"/>
  <c r="A326" i="3" s="1"/>
  <c r="A338" i="3" s="1"/>
  <c r="A341" i="3" s="1"/>
  <c r="A344" i="3" s="1"/>
  <c r="A352" i="3" s="1"/>
  <c r="A359" i="3" s="1"/>
  <c r="A364" i="3" l="1"/>
  <c r="A367" i="3" s="1"/>
  <c r="A370" i="3" s="1"/>
  <c r="A378" i="3" s="1"/>
  <c r="A381" i="3" l="1"/>
  <c r="A384" i="3" l="1"/>
  <c r="A389" i="3" s="1"/>
  <c r="A392" i="3" s="1"/>
  <c r="A395" i="3" s="1"/>
  <c r="A400" i="3" s="1"/>
  <c r="A405" i="3" s="1"/>
  <c r="A408" i="3" s="1"/>
  <c r="A411" i="3" s="1"/>
  <c r="A414" i="3" s="1"/>
  <c r="A421" i="3" s="1"/>
  <c r="A424" i="3" s="1"/>
  <c r="A432" i="3" s="1"/>
  <c r="A439" i="3" s="1"/>
  <c r="A447" i="3" s="1"/>
  <c r="A452" i="3" s="1"/>
  <c r="A456" i="3" s="1"/>
  <c r="A459" i="3" l="1"/>
  <c r="A462" i="3"/>
  <c r="A465" i="3" l="1"/>
  <c r="A470" i="3" s="1"/>
  <c r="A476" i="3" s="1"/>
  <c r="A485" i="3" s="1"/>
  <c r="A491" i="3" s="1"/>
  <c r="A494" i="3" s="1"/>
  <c r="A500" i="3" s="1"/>
  <c r="A506" i="3" s="1"/>
  <c r="A513" i="3" s="1"/>
  <c r="A516" i="3" s="1"/>
  <c r="A521" i="3" s="1"/>
  <c r="A527" i="3" s="1"/>
  <c r="A533" i="3" s="1"/>
  <c r="A536" i="3" s="1"/>
  <c r="A540" i="3" s="1"/>
  <c r="A543" i="3" s="1"/>
  <c r="A546" i="3" l="1"/>
  <c r="A552" i="3" s="1"/>
  <c r="A549" i="3"/>
  <c r="A561" i="3" l="1"/>
  <c r="A566" i="3"/>
  <c r="A569" i="3" l="1"/>
  <c r="A576" i="3" s="1"/>
  <c r="A582" i="3" s="1"/>
  <c r="A587" i="3" s="1"/>
  <c r="A590" i="3" s="1"/>
  <c r="A595" i="3" s="1"/>
  <c r="A600" i="3" s="1"/>
  <c r="A603" i="3" s="1"/>
  <c r="A609" i="3" s="1"/>
  <c r="A616" i="3" s="1"/>
  <c r="A622" i="3" s="1"/>
  <c r="A627" i="3" s="1"/>
  <c r="A632" i="3" s="1"/>
  <c r="A637" i="3" s="1"/>
  <c r="A641" i="3" s="1"/>
  <c r="A644" i="3" s="1"/>
  <c r="A647" i="3" l="1"/>
  <c r="A651" i="3" l="1"/>
  <c r="A654" i="3" s="1"/>
  <c r="A658" i="3" s="1"/>
  <c r="A661" i="3" s="1"/>
  <c r="A664" i="3" s="1"/>
  <c r="A667" i="3" s="1"/>
  <c r="A670" i="3" s="1"/>
  <c r="A680" i="3" s="1"/>
  <c r="A685" i="3" s="1"/>
  <c r="A695" i="3" s="1"/>
  <c r="T231" i="3" l="1"/>
  <c r="V231" i="3" s="1"/>
</calcChain>
</file>

<file path=xl/sharedStrings.xml><?xml version="1.0" encoding="utf-8"?>
<sst xmlns="http://schemas.openxmlformats.org/spreadsheetml/2006/main" count="4243" uniqueCount="627">
  <si>
    <t>ОСНОВНІ ЗАСОБИ. ОБОРОТНА ВІДОМІСТЬ</t>
  </si>
  <si>
    <t>за період</t>
  </si>
  <si>
    <t>Червень 2018-Червень 2018</t>
  </si>
  <si>
    <t>Житлові будинки</t>
  </si>
  <si>
    <t>№</t>
  </si>
  <si>
    <t>інв.</t>
  </si>
  <si>
    <t>адреса</t>
  </si>
  <si>
    <t>рік вводу</t>
  </si>
  <si>
    <t>первісна вартість</t>
  </si>
  <si>
    <t>залишкова вартість</t>
  </si>
  <si>
    <t>амортизація</t>
  </si>
  <si>
    <t>індексація</t>
  </si>
  <si>
    <t>донараховано</t>
  </si>
  <si>
    <t>вибуло</t>
  </si>
  <si>
    <t>п/п</t>
  </si>
  <si>
    <t>номер</t>
  </si>
  <si>
    <t>код</t>
  </si>
  <si>
    <t>вулиця</t>
  </si>
  <si>
    <t>буд.</t>
  </si>
  <si>
    <t>в експл.</t>
  </si>
  <si>
    <t>на початок</t>
  </si>
  <si>
    <t xml:space="preserve"> </t>
  </si>
  <si>
    <t>первісна</t>
  </si>
  <si>
    <t>залишкова</t>
  </si>
  <si>
    <t>первісної</t>
  </si>
  <si>
    <t>залишкової</t>
  </si>
  <si>
    <t>на кінець</t>
  </si>
  <si>
    <t xml:space="preserve">100002  </t>
  </si>
  <si>
    <t>Лесi Українки бульвар</t>
  </si>
  <si>
    <t>-</t>
  </si>
  <si>
    <t xml:space="preserve">100005  </t>
  </si>
  <si>
    <t>Романа Шухевича вулиця</t>
  </si>
  <si>
    <t xml:space="preserve">100006  </t>
  </si>
  <si>
    <t>Валова вулиця</t>
  </si>
  <si>
    <t xml:space="preserve">100011  </t>
  </si>
  <si>
    <t>Пекарська вулиця</t>
  </si>
  <si>
    <t xml:space="preserve">100012  </t>
  </si>
  <si>
    <t>Михайла Грушевського проспект</t>
  </si>
  <si>
    <t xml:space="preserve">100028  </t>
  </si>
  <si>
    <t>Театральна вулиця</t>
  </si>
  <si>
    <t xml:space="preserve">100033  </t>
  </si>
  <si>
    <t xml:space="preserve">100036  </t>
  </si>
  <si>
    <t xml:space="preserve">100049  </t>
  </si>
  <si>
    <t>Тараса Шевченка вулиця</t>
  </si>
  <si>
    <t xml:space="preserve">100054  </t>
  </si>
  <si>
    <t xml:space="preserve">100060  </t>
  </si>
  <si>
    <t>Вiдродження площа</t>
  </si>
  <si>
    <t xml:space="preserve">100067  </t>
  </si>
  <si>
    <t xml:space="preserve">100071  </t>
  </si>
  <si>
    <t xml:space="preserve">100072  </t>
  </si>
  <si>
    <t>Вячеслава Чорновола вулиця</t>
  </si>
  <si>
    <t xml:space="preserve">100077  </t>
  </si>
  <si>
    <t xml:space="preserve">100081  </t>
  </si>
  <si>
    <t xml:space="preserve">100084  </t>
  </si>
  <si>
    <t xml:space="preserve">100095  </t>
  </si>
  <si>
    <t>Тараса Шевченка площа</t>
  </si>
  <si>
    <t xml:space="preserve">100096  </t>
  </si>
  <si>
    <t xml:space="preserve">100098  </t>
  </si>
  <si>
    <t xml:space="preserve">100106  </t>
  </si>
  <si>
    <t xml:space="preserve">100107  </t>
  </si>
  <si>
    <t xml:space="preserve">100108  </t>
  </si>
  <si>
    <t xml:space="preserve">100109  </t>
  </si>
  <si>
    <t xml:space="preserve">100151  </t>
  </si>
  <si>
    <t xml:space="preserve">100158  </t>
  </si>
  <si>
    <t xml:space="preserve">100177  </t>
  </si>
  <si>
    <t>Василя Стуса вулиця</t>
  </si>
  <si>
    <t xml:space="preserve">100184  </t>
  </si>
  <si>
    <t xml:space="preserve">100199  </t>
  </si>
  <si>
    <t>Опришка М.Драгирюка вулиця</t>
  </si>
  <si>
    <t xml:space="preserve">100203  </t>
  </si>
  <si>
    <t>Ринок площа</t>
  </si>
  <si>
    <t xml:space="preserve">100225  </t>
  </si>
  <si>
    <t xml:space="preserve">100234  </t>
  </si>
  <si>
    <t>Кринична вулиця</t>
  </si>
  <si>
    <t xml:space="preserve">100241  </t>
  </si>
  <si>
    <t>Якова Оренштайна вулиця</t>
  </si>
  <si>
    <t xml:space="preserve">100252  </t>
  </si>
  <si>
    <t>Гетьмана Івана Мазепи вулиця</t>
  </si>
  <si>
    <t xml:space="preserve">100254  </t>
  </si>
  <si>
    <t xml:space="preserve">100257  </t>
  </si>
  <si>
    <t xml:space="preserve">100263  </t>
  </si>
  <si>
    <t xml:space="preserve">100303  </t>
  </si>
  <si>
    <t xml:space="preserve">100318  </t>
  </si>
  <si>
    <t>Гетьманська вулиця</t>
  </si>
  <si>
    <t>11а</t>
  </si>
  <si>
    <t xml:space="preserve">100324  </t>
  </si>
  <si>
    <t xml:space="preserve">100362  </t>
  </si>
  <si>
    <t>Михайла Лермонтова вулиця</t>
  </si>
  <si>
    <t xml:space="preserve">100383  </t>
  </si>
  <si>
    <t>Старогончарна вулиця</t>
  </si>
  <si>
    <t xml:space="preserve">100410  </t>
  </si>
  <si>
    <t>Михайла Павлика вулиця</t>
  </si>
  <si>
    <t xml:space="preserve">100421  </t>
  </si>
  <si>
    <t xml:space="preserve">100432  </t>
  </si>
  <si>
    <t>Олекси Довбуша вулиця</t>
  </si>
  <si>
    <t xml:space="preserve">100459  </t>
  </si>
  <si>
    <t>Кирила Блонського вулиця</t>
  </si>
  <si>
    <t xml:space="preserve">100926  </t>
  </si>
  <si>
    <t xml:space="preserve">101922  </t>
  </si>
  <si>
    <t>Адама Мiцкевича вулиця</t>
  </si>
  <si>
    <t>4а</t>
  </si>
  <si>
    <t xml:space="preserve">101924  </t>
  </si>
  <si>
    <t>Сотнi Кривоноса вулиця</t>
  </si>
  <si>
    <t xml:space="preserve">200005  </t>
  </si>
  <si>
    <t>Дмитра Яворницького вулиця</t>
  </si>
  <si>
    <t xml:space="preserve">200006  </t>
  </si>
  <si>
    <t xml:space="preserve">200012  </t>
  </si>
  <si>
    <t>Василя Стефаника вулиця</t>
  </si>
  <si>
    <t>2а</t>
  </si>
  <si>
    <t xml:space="preserve">200013  </t>
  </si>
  <si>
    <t>Iвана Богуна вулиця</t>
  </si>
  <si>
    <t xml:space="preserve">200014  </t>
  </si>
  <si>
    <t xml:space="preserve">200015  </t>
  </si>
  <si>
    <t xml:space="preserve">200016  </t>
  </si>
  <si>
    <t xml:space="preserve">200017  </t>
  </si>
  <si>
    <t xml:space="preserve">200018  </t>
  </si>
  <si>
    <t xml:space="preserve">200020  </t>
  </si>
  <si>
    <t xml:space="preserve">200021  </t>
  </si>
  <si>
    <t xml:space="preserve">200022  </t>
  </si>
  <si>
    <t xml:space="preserve">200026  </t>
  </si>
  <si>
    <t>Степана Бандери вулиця</t>
  </si>
  <si>
    <t xml:space="preserve">200027  </t>
  </si>
  <si>
    <t xml:space="preserve">200028  </t>
  </si>
  <si>
    <t xml:space="preserve">200029  </t>
  </si>
  <si>
    <t xml:space="preserve">200030  </t>
  </si>
  <si>
    <t xml:space="preserve">200032  </t>
  </si>
  <si>
    <t xml:space="preserve">200039  </t>
  </si>
  <si>
    <t xml:space="preserve">200042  </t>
  </si>
  <si>
    <t>Iвана Крип'якевича вулиця</t>
  </si>
  <si>
    <t xml:space="preserve">200043  </t>
  </si>
  <si>
    <t xml:space="preserve">200044  </t>
  </si>
  <si>
    <t xml:space="preserve">200046  </t>
  </si>
  <si>
    <t xml:space="preserve">200048  </t>
  </si>
  <si>
    <t xml:space="preserve">200049  </t>
  </si>
  <si>
    <t xml:space="preserve">200051  </t>
  </si>
  <si>
    <t xml:space="preserve">200053  </t>
  </si>
  <si>
    <t>298а</t>
  </si>
  <si>
    <t xml:space="preserve">200054  </t>
  </si>
  <si>
    <t>Сидора Воробкевича вулиця</t>
  </si>
  <si>
    <t xml:space="preserve">200062  </t>
  </si>
  <si>
    <t xml:space="preserve">200065  </t>
  </si>
  <si>
    <t xml:space="preserve">200091  </t>
  </si>
  <si>
    <t xml:space="preserve">200098  </t>
  </si>
  <si>
    <t>Професора Б.Левицького вулиця</t>
  </si>
  <si>
    <t xml:space="preserve">200119  </t>
  </si>
  <si>
    <t>Професора Пулюя вулиця</t>
  </si>
  <si>
    <t xml:space="preserve">200125  </t>
  </si>
  <si>
    <t>51а</t>
  </si>
  <si>
    <t xml:space="preserve">200155  </t>
  </si>
  <si>
    <t xml:space="preserve">200162  </t>
  </si>
  <si>
    <t>Київська вулиця</t>
  </si>
  <si>
    <t xml:space="preserve">200165  </t>
  </si>
  <si>
    <t>Панаса Мирного вулиця</t>
  </si>
  <si>
    <t xml:space="preserve">200217  </t>
  </si>
  <si>
    <t>Станiслава Людкевича вулиця</t>
  </si>
  <si>
    <t xml:space="preserve">200218  </t>
  </si>
  <si>
    <t>8а</t>
  </si>
  <si>
    <t xml:space="preserve">200245  </t>
  </si>
  <si>
    <t>Старомiська вулиця</t>
  </si>
  <si>
    <t xml:space="preserve">200256  </t>
  </si>
  <si>
    <t>Соборна вулиця</t>
  </si>
  <si>
    <t xml:space="preserve">200267  </t>
  </si>
  <si>
    <t xml:space="preserve">201900  </t>
  </si>
  <si>
    <t xml:space="preserve">201902  </t>
  </si>
  <si>
    <t>36а</t>
  </si>
  <si>
    <t xml:space="preserve">201903  </t>
  </si>
  <si>
    <t xml:space="preserve">201908  </t>
  </si>
  <si>
    <t>Марiї Заньковецької вулиця</t>
  </si>
  <si>
    <t xml:space="preserve">201918  </t>
  </si>
  <si>
    <t xml:space="preserve">262 </t>
  </si>
  <si>
    <t xml:space="preserve">300001  </t>
  </si>
  <si>
    <t>Сiчових Стрiльцiв вулиця</t>
  </si>
  <si>
    <t xml:space="preserve">300002  </t>
  </si>
  <si>
    <t xml:space="preserve">300003  </t>
  </si>
  <si>
    <t xml:space="preserve">300004  </t>
  </si>
  <si>
    <t xml:space="preserve">300009  </t>
  </si>
  <si>
    <t>Миколи Лисенка вулиця</t>
  </si>
  <si>
    <t xml:space="preserve">300011  </t>
  </si>
  <si>
    <t xml:space="preserve">300012  </t>
  </si>
  <si>
    <t xml:space="preserve">300013  </t>
  </si>
  <si>
    <t xml:space="preserve">300014  </t>
  </si>
  <si>
    <t xml:space="preserve">300015  </t>
  </si>
  <si>
    <t xml:space="preserve">300016  </t>
  </si>
  <si>
    <t xml:space="preserve">300018  </t>
  </si>
  <si>
    <t xml:space="preserve">300019  </t>
  </si>
  <si>
    <t>Юрiя Шкрумеляка вулиця</t>
  </si>
  <si>
    <t xml:space="preserve">300020  </t>
  </si>
  <si>
    <t xml:space="preserve">300023  </t>
  </si>
  <si>
    <t xml:space="preserve">300024  </t>
  </si>
  <si>
    <t>Олександра Довженка вулиця</t>
  </si>
  <si>
    <t xml:space="preserve">300025  </t>
  </si>
  <si>
    <t xml:space="preserve">300026  </t>
  </si>
  <si>
    <t xml:space="preserve">300028  </t>
  </si>
  <si>
    <t xml:space="preserve">300031  </t>
  </si>
  <si>
    <t xml:space="preserve">300032  </t>
  </si>
  <si>
    <t>Полковника Семена Палiя вулиця</t>
  </si>
  <si>
    <t xml:space="preserve">300034  </t>
  </si>
  <si>
    <t xml:space="preserve">300035  </t>
  </si>
  <si>
    <t xml:space="preserve">300054  </t>
  </si>
  <si>
    <t xml:space="preserve">300057  </t>
  </si>
  <si>
    <t xml:space="preserve">300066  </t>
  </si>
  <si>
    <t xml:space="preserve">300069  </t>
  </si>
  <si>
    <t>Косачiвська вулиця</t>
  </si>
  <si>
    <t xml:space="preserve">300084  </t>
  </si>
  <si>
    <t>Андрiя Чайковського вулиця</t>
  </si>
  <si>
    <t xml:space="preserve">300085  </t>
  </si>
  <si>
    <t xml:space="preserve">300088  </t>
  </si>
  <si>
    <t xml:space="preserve">300089  </t>
  </si>
  <si>
    <t xml:space="preserve">300090  </t>
  </si>
  <si>
    <t xml:space="preserve">300104  </t>
  </si>
  <si>
    <t>34а</t>
  </si>
  <si>
    <t xml:space="preserve">300113  </t>
  </si>
  <si>
    <t>Андрiя Сахарова вулиця</t>
  </si>
  <si>
    <t xml:space="preserve">300116  </t>
  </si>
  <si>
    <t xml:space="preserve">300119  </t>
  </si>
  <si>
    <t xml:space="preserve">300121  </t>
  </si>
  <si>
    <t xml:space="preserve">300123  </t>
  </si>
  <si>
    <t xml:space="preserve">300124  </t>
  </si>
  <si>
    <t xml:space="preserve">300128  </t>
  </si>
  <si>
    <t xml:space="preserve">300158  </t>
  </si>
  <si>
    <t>Гетьмана Петра Дорошенка вулиця</t>
  </si>
  <si>
    <t xml:space="preserve">300159  </t>
  </si>
  <si>
    <t xml:space="preserve">300200  </t>
  </si>
  <si>
    <t xml:space="preserve">300487  </t>
  </si>
  <si>
    <t xml:space="preserve">300490  </t>
  </si>
  <si>
    <t>Богдана Лепкого вулиця</t>
  </si>
  <si>
    <t xml:space="preserve">300502  </t>
  </si>
  <si>
    <t xml:space="preserve">300507  </t>
  </si>
  <si>
    <t>26а</t>
  </si>
  <si>
    <t xml:space="preserve">400001  </t>
  </si>
  <si>
    <t>Богдана Хмельницького вулиця</t>
  </si>
  <si>
    <t>1а</t>
  </si>
  <si>
    <t xml:space="preserve">400002  </t>
  </si>
  <si>
    <t xml:space="preserve">400004  </t>
  </si>
  <si>
    <t>Миколи Леонтовича вулиця</t>
  </si>
  <si>
    <t xml:space="preserve">400005  </t>
  </si>
  <si>
    <t xml:space="preserve">400006  </t>
  </si>
  <si>
    <t xml:space="preserve">400007  </t>
  </si>
  <si>
    <t>Моцарта вулиця</t>
  </si>
  <si>
    <t xml:space="preserve">400009  </t>
  </si>
  <si>
    <t>Миколи Костомарова вулиця</t>
  </si>
  <si>
    <t xml:space="preserve">400010  </t>
  </si>
  <si>
    <t xml:space="preserve">400011  </t>
  </si>
  <si>
    <t xml:space="preserve">400012  </t>
  </si>
  <si>
    <t xml:space="preserve">400013  </t>
  </si>
  <si>
    <t xml:space="preserve">400014  </t>
  </si>
  <si>
    <t xml:space="preserve">400016  </t>
  </si>
  <si>
    <t>Симона Петлюри вулиця</t>
  </si>
  <si>
    <t xml:space="preserve">400017  </t>
  </si>
  <si>
    <t xml:space="preserve">400018  </t>
  </si>
  <si>
    <t xml:space="preserve">400030  </t>
  </si>
  <si>
    <t xml:space="preserve">400048  </t>
  </si>
  <si>
    <t>Iвана Франка вулиця</t>
  </si>
  <si>
    <t xml:space="preserve">400062  </t>
  </si>
  <si>
    <t xml:space="preserve">400064  </t>
  </si>
  <si>
    <t xml:space="preserve">400079  </t>
  </si>
  <si>
    <t>Кирила Трильовського вулиця</t>
  </si>
  <si>
    <t xml:space="preserve">400101  </t>
  </si>
  <si>
    <t>Українська вулиця</t>
  </si>
  <si>
    <t xml:space="preserve">400143  </t>
  </si>
  <si>
    <t xml:space="preserve">400148  </t>
  </si>
  <si>
    <t>Карпатська вулиця</t>
  </si>
  <si>
    <t xml:space="preserve">400199  </t>
  </si>
  <si>
    <t xml:space="preserve">400218  </t>
  </si>
  <si>
    <t xml:space="preserve">400228  </t>
  </si>
  <si>
    <t xml:space="preserve">400272  </t>
  </si>
  <si>
    <t>Антона Чехова вулиця</t>
  </si>
  <si>
    <t xml:space="preserve">400278  </t>
  </si>
  <si>
    <t>90 кв. 3</t>
  </si>
  <si>
    <t xml:space="preserve">400298  </t>
  </si>
  <si>
    <t xml:space="preserve">400501  </t>
  </si>
  <si>
    <t xml:space="preserve">400505  </t>
  </si>
  <si>
    <t xml:space="preserve">405511  </t>
  </si>
  <si>
    <t xml:space="preserve">405512  </t>
  </si>
  <si>
    <t>40г</t>
  </si>
  <si>
    <t>РАЗОМ:</t>
  </si>
  <si>
    <t>Капітальний ремонт (К)</t>
  </si>
  <si>
    <t xml:space="preserve">700001  </t>
  </si>
  <si>
    <t xml:space="preserve">700002  </t>
  </si>
  <si>
    <t xml:space="preserve">700004  </t>
  </si>
  <si>
    <t xml:space="preserve">700005  </t>
  </si>
  <si>
    <t xml:space="preserve">700006  </t>
  </si>
  <si>
    <t xml:space="preserve">700007  </t>
  </si>
  <si>
    <t xml:space="preserve">700008  </t>
  </si>
  <si>
    <t xml:space="preserve">700013  </t>
  </si>
  <si>
    <t xml:space="preserve">700014  </t>
  </si>
  <si>
    <t xml:space="preserve">700015  </t>
  </si>
  <si>
    <t xml:space="preserve">700016  </t>
  </si>
  <si>
    <t xml:space="preserve">700018  </t>
  </si>
  <si>
    <t xml:space="preserve">700020  </t>
  </si>
  <si>
    <t xml:space="preserve">700022  </t>
  </si>
  <si>
    <t xml:space="preserve">700025  </t>
  </si>
  <si>
    <t xml:space="preserve">700026  </t>
  </si>
  <si>
    <t xml:space="preserve">700027  </t>
  </si>
  <si>
    <t xml:space="preserve">700030  </t>
  </si>
  <si>
    <t xml:space="preserve">700033  </t>
  </si>
  <si>
    <t xml:space="preserve">700035  </t>
  </si>
  <si>
    <t xml:space="preserve">700037  </t>
  </si>
  <si>
    <t xml:space="preserve">700039  </t>
  </si>
  <si>
    <t xml:space="preserve">700040  </t>
  </si>
  <si>
    <t xml:space="preserve">700044  </t>
  </si>
  <si>
    <t xml:space="preserve">700045  </t>
  </si>
  <si>
    <t xml:space="preserve">700046  </t>
  </si>
  <si>
    <t xml:space="preserve">700047  </t>
  </si>
  <si>
    <t xml:space="preserve">700048  </t>
  </si>
  <si>
    <t xml:space="preserve">700049  </t>
  </si>
  <si>
    <t xml:space="preserve">700052  </t>
  </si>
  <si>
    <t xml:space="preserve">700053  </t>
  </si>
  <si>
    <t xml:space="preserve">700055  </t>
  </si>
  <si>
    <t xml:space="preserve">700058  </t>
  </si>
  <si>
    <t xml:space="preserve">700059  </t>
  </si>
  <si>
    <t xml:space="preserve">700066  </t>
  </si>
  <si>
    <t xml:space="preserve">700067  </t>
  </si>
  <si>
    <t xml:space="preserve">700068  </t>
  </si>
  <si>
    <t xml:space="preserve">700073  </t>
  </si>
  <si>
    <t xml:space="preserve">700074  </t>
  </si>
  <si>
    <t xml:space="preserve">700080  </t>
  </si>
  <si>
    <t xml:space="preserve">700084  </t>
  </si>
  <si>
    <t xml:space="preserve">700091  </t>
  </si>
  <si>
    <t xml:space="preserve">700092  </t>
  </si>
  <si>
    <t xml:space="preserve">700098  </t>
  </si>
  <si>
    <t xml:space="preserve">700099  </t>
  </si>
  <si>
    <t xml:space="preserve">700103  </t>
  </si>
  <si>
    <t xml:space="preserve">700115  </t>
  </si>
  <si>
    <t xml:space="preserve">700116  </t>
  </si>
  <si>
    <t xml:space="preserve">700118  </t>
  </si>
  <si>
    <t xml:space="preserve">700119  </t>
  </si>
  <si>
    <t xml:space="preserve">700120  </t>
  </si>
  <si>
    <t xml:space="preserve">700121  </t>
  </si>
  <si>
    <t xml:space="preserve">700122  </t>
  </si>
  <si>
    <t xml:space="preserve">700123  </t>
  </si>
  <si>
    <t xml:space="preserve">700124  </t>
  </si>
  <si>
    <t xml:space="preserve">700125  </t>
  </si>
  <si>
    <t xml:space="preserve">700126  </t>
  </si>
  <si>
    <t xml:space="preserve">700127  </t>
  </si>
  <si>
    <t xml:space="preserve">700129  </t>
  </si>
  <si>
    <t xml:space="preserve">700134  </t>
  </si>
  <si>
    <t xml:space="preserve">700137  </t>
  </si>
  <si>
    <t xml:space="preserve">700141  </t>
  </si>
  <si>
    <t xml:space="preserve">700159  </t>
  </si>
  <si>
    <t xml:space="preserve">700160  </t>
  </si>
  <si>
    <t xml:space="preserve">700162  </t>
  </si>
  <si>
    <t xml:space="preserve">700163  </t>
  </si>
  <si>
    <t xml:space="preserve">700165  </t>
  </si>
  <si>
    <t xml:space="preserve">700166  </t>
  </si>
  <si>
    <t xml:space="preserve">700167  </t>
  </si>
  <si>
    <t xml:space="preserve">700168  </t>
  </si>
  <si>
    <t xml:space="preserve">700182  </t>
  </si>
  <si>
    <t xml:space="preserve">700185  </t>
  </si>
  <si>
    <t xml:space="preserve">700187  </t>
  </si>
  <si>
    <t xml:space="preserve">700202  </t>
  </si>
  <si>
    <t xml:space="preserve">700212  </t>
  </si>
  <si>
    <t xml:space="preserve">700219  </t>
  </si>
  <si>
    <t xml:space="preserve">700223  </t>
  </si>
  <si>
    <t xml:space="preserve">700225  </t>
  </si>
  <si>
    <t xml:space="preserve">700228  </t>
  </si>
  <si>
    <t xml:space="preserve">700232  </t>
  </si>
  <si>
    <t xml:space="preserve">700249  </t>
  </si>
  <si>
    <t xml:space="preserve">700254  </t>
  </si>
  <si>
    <t xml:space="preserve">700256  </t>
  </si>
  <si>
    <t xml:space="preserve">700258  </t>
  </si>
  <si>
    <t xml:space="preserve">700261  </t>
  </si>
  <si>
    <t xml:space="preserve">700270  </t>
  </si>
  <si>
    <t xml:space="preserve">700272  </t>
  </si>
  <si>
    <t xml:space="preserve">700277  </t>
  </si>
  <si>
    <t xml:space="preserve"> кап.ремонт</t>
  </si>
  <si>
    <t>зайвий капітальний ремонт рахується на балансі</t>
  </si>
  <si>
    <t>аморт.</t>
  </si>
  <si>
    <t>Благоустрій</t>
  </si>
  <si>
    <t xml:space="preserve">100566  </t>
  </si>
  <si>
    <t xml:space="preserve">100567  </t>
  </si>
  <si>
    <t xml:space="preserve">201919  </t>
  </si>
  <si>
    <t xml:space="preserve">700072  </t>
  </si>
  <si>
    <t>Дитячі майданчики</t>
  </si>
  <si>
    <t xml:space="preserve">700195  </t>
  </si>
  <si>
    <t>Демонтаж теплокамер</t>
  </si>
  <si>
    <t xml:space="preserve">700196  </t>
  </si>
  <si>
    <t xml:space="preserve">700209  </t>
  </si>
  <si>
    <t xml:space="preserve">700222  </t>
  </si>
  <si>
    <t xml:space="preserve">700251  </t>
  </si>
  <si>
    <t xml:space="preserve">700266  </t>
  </si>
  <si>
    <t xml:space="preserve">700273  </t>
  </si>
  <si>
    <t xml:space="preserve">700274  </t>
  </si>
  <si>
    <t xml:space="preserve">700275  </t>
  </si>
  <si>
    <t xml:space="preserve">700276  </t>
  </si>
  <si>
    <t xml:space="preserve">700281  </t>
  </si>
  <si>
    <t xml:space="preserve">700282  </t>
  </si>
  <si>
    <t xml:space="preserve">700283  </t>
  </si>
  <si>
    <t xml:space="preserve">700284  </t>
  </si>
  <si>
    <t xml:space="preserve">700285  </t>
  </si>
  <si>
    <t xml:space="preserve">700286  </t>
  </si>
  <si>
    <t xml:space="preserve">700287  </t>
  </si>
  <si>
    <t>Лавочки</t>
  </si>
  <si>
    <t xml:space="preserve">700288  </t>
  </si>
  <si>
    <t>підїздні ш</t>
  </si>
  <si>
    <t xml:space="preserve">700289  </t>
  </si>
  <si>
    <t xml:space="preserve">700290  </t>
  </si>
  <si>
    <t>ВСЬОГО:</t>
  </si>
  <si>
    <t>Нежитло</t>
  </si>
  <si>
    <t xml:space="preserve">100495  </t>
  </si>
  <si>
    <t>Євгена Коновальця вулиця</t>
  </si>
  <si>
    <t xml:space="preserve">100504  </t>
  </si>
  <si>
    <t>13 15 17</t>
  </si>
  <si>
    <t xml:space="preserve">100517  </t>
  </si>
  <si>
    <t xml:space="preserve">100523  </t>
  </si>
  <si>
    <t xml:space="preserve">100532  </t>
  </si>
  <si>
    <t>Iвана Вагилевича вулиця</t>
  </si>
  <si>
    <t xml:space="preserve">100539  </t>
  </si>
  <si>
    <t>19б</t>
  </si>
  <si>
    <t xml:space="preserve">100545  </t>
  </si>
  <si>
    <t>Михайла Драгоманова вулиця</t>
  </si>
  <si>
    <t>3б</t>
  </si>
  <si>
    <t xml:space="preserve">100924  </t>
  </si>
  <si>
    <t xml:space="preserve">101919  </t>
  </si>
  <si>
    <t xml:space="preserve">101923  </t>
  </si>
  <si>
    <t xml:space="preserve">101925  </t>
  </si>
  <si>
    <t xml:space="preserve">101926  </t>
  </si>
  <si>
    <t xml:space="preserve">101927  </t>
  </si>
  <si>
    <t>3/1</t>
  </si>
  <si>
    <t xml:space="preserve">101929  </t>
  </si>
  <si>
    <t xml:space="preserve">200259  </t>
  </si>
  <si>
    <t>5а</t>
  </si>
  <si>
    <t xml:space="preserve">200263  </t>
  </si>
  <si>
    <t xml:space="preserve">200266  </t>
  </si>
  <si>
    <t xml:space="preserve">200287  </t>
  </si>
  <si>
    <t>Володимира Гнатюка вулиця</t>
  </si>
  <si>
    <t>35а</t>
  </si>
  <si>
    <t xml:space="preserve">300508  </t>
  </si>
  <si>
    <t xml:space="preserve">400304  </t>
  </si>
  <si>
    <t xml:space="preserve">400308  </t>
  </si>
  <si>
    <t xml:space="preserve">400309  </t>
  </si>
  <si>
    <t>Олександра Пушкiна вулиця</t>
  </si>
  <si>
    <t xml:space="preserve">500001  </t>
  </si>
  <si>
    <t xml:space="preserve">500002  </t>
  </si>
  <si>
    <t xml:space="preserve">500003  </t>
  </si>
  <si>
    <t xml:space="preserve">500007  </t>
  </si>
  <si>
    <t xml:space="preserve">500008  </t>
  </si>
  <si>
    <t xml:space="preserve">700077  </t>
  </si>
  <si>
    <t xml:space="preserve">700078  </t>
  </si>
  <si>
    <t xml:space="preserve">700218  </t>
  </si>
  <si>
    <t xml:space="preserve">700262  </t>
  </si>
  <si>
    <t xml:space="preserve">700263  </t>
  </si>
  <si>
    <t>6А</t>
  </si>
  <si>
    <t xml:space="preserve">700264  </t>
  </si>
  <si>
    <t>6Б</t>
  </si>
  <si>
    <t xml:space="preserve">700265  </t>
  </si>
  <si>
    <t>6В</t>
  </si>
  <si>
    <t xml:space="preserve">700278  </t>
  </si>
  <si>
    <t>знос</t>
  </si>
  <si>
    <t xml:space="preserve">залишкова </t>
  </si>
  <si>
    <t xml:space="preserve">первісна </t>
  </si>
  <si>
    <t>Дощова каналізація (К1)</t>
  </si>
  <si>
    <t xml:space="preserve">700029  </t>
  </si>
  <si>
    <t xml:space="preserve">700060  </t>
  </si>
  <si>
    <t xml:space="preserve">700071  </t>
  </si>
  <si>
    <t xml:space="preserve">700095  </t>
  </si>
  <si>
    <t xml:space="preserve">700061  </t>
  </si>
  <si>
    <t>Червень 2018</t>
  </si>
  <si>
    <t>найменування</t>
  </si>
  <si>
    <t>МВО</t>
  </si>
  <si>
    <t>підрозділ</t>
  </si>
  <si>
    <t>інв.номер</t>
  </si>
  <si>
    <t>Дуб</t>
  </si>
  <si>
    <t>Марфей Мирослав Васильович (Озеленення)</t>
  </si>
  <si>
    <t>Тех.дільниця №2</t>
  </si>
  <si>
    <t>Ясен</t>
  </si>
  <si>
    <t>Саженці клена (17шт)</t>
  </si>
  <si>
    <t>Саженці катальпа (18шт)</t>
  </si>
  <si>
    <t>площа</t>
  </si>
  <si>
    <t>підвал</t>
  </si>
  <si>
    <t>протирадіаційне укриття</t>
  </si>
  <si>
    <t>м2</t>
  </si>
  <si>
    <t>неприватизована квартира №45</t>
  </si>
  <si>
    <t>нежитлове приміщення</t>
  </si>
  <si>
    <t>неприватизована квартира №2</t>
  </si>
  <si>
    <t>9, 10</t>
  </si>
  <si>
    <t>неприватизована квартира №5</t>
  </si>
  <si>
    <t>неприватизована квартира №3</t>
  </si>
  <si>
    <t>неприватизована квартира № 3</t>
  </si>
  <si>
    <t>неприватизована квартира № 5</t>
  </si>
  <si>
    <t>неприватизована квартира № 13</t>
  </si>
  <si>
    <t>неприватизована квартира № 94</t>
  </si>
  <si>
    <t>неприватизована квартира № 1</t>
  </si>
  <si>
    <t>неприватизована квартира № 4</t>
  </si>
  <si>
    <t>неприватизовані квартири № 4, №5</t>
  </si>
  <si>
    <t>неприватизована квартира № 77</t>
  </si>
  <si>
    <t>Адреса</t>
  </si>
  <si>
    <t>неприватизована квартира № 60</t>
  </si>
  <si>
    <t>неприватизована квартира № 58</t>
  </si>
  <si>
    <t>неприватизована квартира № 9</t>
  </si>
  <si>
    <t>нежитлові приміщення</t>
  </si>
  <si>
    <t>неприватизована квартира № 12</t>
  </si>
  <si>
    <t>неприватизована квартира № 67</t>
  </si>
  <si>
    <t>неприватизована квартира № 2</t>
  </si>
  <si>
    <t>неприватизована квартира №1</t>
  </si>
  <si>
    <t>неприватизована квартира №60</t>
  </si>
  <si>
    <t>неприватизована квартира №17</t>
  </si>
  <si>
    <t>нежитлове приміщення (підвал)</t>
  </si>
  <si>
    <t xml:space="preserve">нежитлове приміщення </t>
  </si>
  <si>
    <t>неприватизована квартира№54</t>
  </si>
  <si>
    <t>неприватизована квартира №22</t>
  </si>
  <si>
    <t>неприватизована квартира №4</t>
  </si>
  <si>
    <t>неприватизована квартира №19</t>
  </si>
  <si>
    <t>неприватизована квартира №29</t>
  </si>
  <si>
    <t>неприватизована квартира №100</t>
  </si>
  <si>
    <t>неприватизована квартира № 51</t>
  </si>
  <si>
    <t>неприватизована квартира №12</t>
  </si>
  <si>
    <t>неприватизовану квартиру № 7</t>
  </si>
  <si>
    <t>неприватизовані квартири</t>
  </si>
  <si>
    <t>№7</t>
  </si>
  <si>
    <t>№14</t>
  </si>
  <si>
    <t>№6</t>
  </si>
  <si>
    <t>№19</t>
  </si>
  <si>
    <t>№40</t>
  </si>
  <si>
    <t>№45</t>
  </si>
  <si>
    <t>№48</t>
  </si>
  <si>
    <t>№52</t>
  </si>
  <si>
    <t>№54</t>
  </si>
  <si>
    <t>неприватизовані квартири:</t>
  </si>
  <si>
    <t>№60</t>
  </si>
  <si>
    <t>№89</t>
  </si>
  <si>
    <t>№61</t>
  </si>
  <si>
    <t>№66</t>
  </si>
  <si>
    <t>№3</t>
  </si>
  <si>
    <t>№24</t>
  </si>
  <si>
    <t>№34</t>
  </si>
  <si>
    <t>№3а</t>
  </si>
  <si>
    <t>№12</t>
  </si>
  <si>
    <t>№39</t>
  </si>
  <si>
    <t>№58</t>
  </si>
  <si>
    <t>№67</t>
  </si>
  <si>
    <t>№1</t>
  </si>
  <si>
    <t>№90</t>
  </si>
  <si>
    <t>№112</t>
  </si>
  <si>
    <t>№127</t>
  </si>
  <si>
    <t>№26</t>
  </si>
  <si>
    <t>№29</t>
  </si>
  <si>
    <t>№84</t>
  </si>
  <si>
    <t>№15</t>
  </si>
  <si>
    <t>№49</t>
  </si>
  <si>
    <t>№73</t>
  </si>
  <si>
    <t>№57</t>
  </si>
  <si>
    <t>№59</t>
  </si>
  <si>
    <t>№50</t>
  </si>
  <si>
    <t>неприватизована квартири:</t>
  </si>
  <si>
    <t>№64</t>
  </si>
  <si>
    <t>№21</t>
  </si>
  <si>
    <t>№43</t>
  </si>
  <si>
    <t>№16</t>
  </si>
  <si>
    <t>№25</t>
  </si>
  <si>
    <t>№27</t>
  </si>
  <si>
    <t>№28</t>
  </si>
  <si>
    <t>№31</t>
  </si>
  <si>
    <t>№44</t>
  </si>
  <si>
    <t>№80</t>
  </si>
  <si>
    <t>№9</t>
  </si>
  <si>
    <t>№75</t>
  </si>
  <si>
    <t>№86</t>
  </si>
  <si>
    <t>№93</t>
  </si>
  <si>
    <t>№111</t>
  </si>
  <si>
    <t>№120</t>
  </si>
  <si>
    <t>№129</t>
  </si>
  <si>
    <t>№33</t>
  </si>
  <si>
    <t>№30</t>
  </si>
  <si>
    <t>№36</t>
  </si>
  <si>
    <t>№32</t>
  </si>
  <si>
    <t>№8</t>
  </si>
  <si>
    <t>№4</t>
  </si>
  <si>
    <t>№96</t>
  </si>
  <si>
    <t>№177</t>
  </si>
  <si>
    <t>№182</t>
  </si>
  <si>
    <t>№206</t>
  </si>
  <si>
    <t>№55</t>
  </si>
  <si>
    <t>№121</t>
  </si>
  <si>
    <t>№123</t>
  </si>
  <si>
    <t>№23</t>
  </si>
  <si>
    <t>№74</t>
  </si>
  <si>
    <t>№124</t>
  </si>
  <si>
    <t>№101</t>
  </si>
  <si>
    <t>№106</t>
  </si>
  <si>
    <t>№11</t>
  </si>
  <si>
    <t>№38</t>
  </si>
  <si>
    <t>№51</t>
  </si>
  <si>
    <t>№68</t>
  </si>
  <si>
    <t>№79</t>
  </si>
  <si>
    <t>№88</t>
  </si>
  <si>
    <t>№17</t>
  </si>
  <si>
    <t>№47</t>
  </si>
  <si>
    <t>№10</t>
  </si>
  <si>
    <t>№13</t>
  </si>
  <si>
    <t>№70</t>
  </si>
  <si>
    <t>№46</t>
  </si>
  <si>
    <t>№2</t>
  </si>
  <si>
    <t>№83</t>
  </si>
  <si>
    <t>№63</t>
  </si>
  <si>
    <t>№77</t>
  </si>
  <si>
    <t>№105</t>
  </si>
  <si>
    <t>№95</t>
  </si>
  <si>
    <t>№107</t>
  </si>
  <si>
    <t>№69</t>
  </si>
  <si>
    <t>№94</t>
  </si>
  <si>
    <t>№35</t>
  </si>
  <si>
    <t>№103</t>
  </si>
  <si>
    <t>№5</t>
  </si>
  <si>
    <t>№41</t>
  </si>
  <si>
    <t>№53</t>
  </si>
  <si>
    <t>№87</t>
  </si>
  <si>
    <t>№18</t>
  </si>
  <si>
    <t>№20</t>
  </si>
  <si>
    <t xml:space="preserve">Додаток №1 </t>
  </si>
  <si>
    <t xml:space="preserve">до рішення виконавчого </t>
  </si>
  <si>
    <t>комітету міської ради</t>
  </si>
  <si>
    <t>від   _______2018р. №___</t>
  </si>
  <si>
    <t>житлових квартир комунальної власності (неприватизованих)</t>
  </si>
  <si>
    <r>
      <t xml:space="preserve">Перелік </t>
    </r>
    <r>
      <rPr>
        <b/>
        <sz val="14"/>
        <color rgb="FF000000"/>
        <rFont val="Times New Roman"/>
        <family val="1"/>
        <charset val="204"/>
      </rPr>
      <t xml:space="preserve">протирадіаційних укриттів, підвалів, нежитлових приміщень, </t>
    </r>
  </si>
  <si>
    <t>№22</t>
  </si>
  <si>
    <t xml:space="preserve">знос </t>
  </si>
  <si>
    <t xml:space="preserve"> вартість</t>
  </si>
  <si>
    <t>Т.Кухтар</t>
  </si>
  <si>
    <t>Керуючий справами виконкому міської ради</t>
  </si>
  <si>
    <t>1-2</t>
  </si>
  <si>
    <t>Переяславська (Вiдродження пл.)</t>
  </si>
  <si>
    <t>неприватизована квартира № 15</t>
  </si>
  <si>
    <t>№138</t>
  </si>
  <si>
    <t>42І</t>
  </si>
  <si>
    <t>42ІІ</t>
  </si>
  <si>
    <t>від 07.09.2018р. № 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</si>
</sst>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"/>
  </numFmts>
  <fonts count="24" x14ac:knownFonts="1">
    <font>
      <sz val="11"/>
      <color theme="1"/>
      <name val="Calibri"/>
      <family val="2"/>
      <charset val="204"/>
      <scheme val="minor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sz val="8"/>
      <color rgb="FFFF0000"/>
      <name val="Arial"/>
      <family val="2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name val="Arial"/>
      <family val="2"/>
      <charset val="204"/>
    </font>
    <font>
      <b/>
      <sz val="14"/>
      <name val="Arial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617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2" fillId="0" borderId="0" xfId="0" applyNumberFormat="1" applyFont="1" applyAlignment="1">
      <alignment horizontal="center"/>
    </xf>
    <xf numFmtId="0" fontId="2" fillId="0" borderId="3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1" fontId="0" fillId="0" borderId="6" xfId="0" applyNumberFormat="1" applyFont="1" applyBorder="1" applyAlignment="1">
      <alignment horizontal="right"/>
    </xf>
    <xf numFmtId="0" fontId="0" fillId="0" borderId="6" xfId="0" applyFont="1" applyBorder="1" applyAlignment="1">
      <alignment horizontal="left"/>
    </xf>
    <xf numFmtId="164" fontId="0" fillId="0" borderId="6" xfId="0" applyNumberFormat="1" applyFont="1" applyBorder="1" applyAlignment="1">
      <alignment horizontal="left"/>
    </xf>
    <xf numFmtId="1" fontId="0" fillId="0" borderId="6" xfId="0" applyNumberFormat="1" applyFont="1" applyBorder="1" applyAlignment="1">
      <alignment horizontal="left"/>
    </xf>
    <xf numFmtId="4" fontId="0" fillId="0" borderId="6" xfId="0" applyNumberFormat="1" applyFont="1" applyBorder="1" applyAlignment="1">
      <alignment horizontal="right"/>
    </xf>
    <xf numFmtId="0" fontId="0" fillId="0" borderId="6" xfId="0" applyNumberFormat="1" applyFont="1" applyBorder="1" applyAlignment="1">
      <alignment horizontal="right"/>
    </xf>
    <xf numFmtId="2" fontId="0" fillId="0" borderId="6" xfId="0" applyNumberFormat="1" applyFont="1" applyBorder="1" applyAlignment="1">
      <alignment horizontal="righ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NumberFormat="1" applyFont="1" applyBorder="1" applyAlignment="1">
      <alignment horizontal="right"/>
    </xf>
    <xf numFmtId="4" fontId="1" fillId="0" borderId="6" xfId="0" applyNumberFormat="1" applyFont="1" applyBorder="1" applyAlignment="1">
      <alignment horizontal="right"/>
    </xf>
    <xf numFmtId="0" fontId="1" fillId="0" borderId="6" xfId="0" applyNumberFormat="1" applyFont="1" applyBorder="1" applyAlignment="1">
      <alignment horizontal="right"/>
    </xf>
    <xf numFmtId="0" fontId="1" fillId="0" borderId="0" xfId="0" applyFont="1" applyAlignment="1">
      <alignment horizontal="left"/>
    </xf>
    <xf numFmtId="4" fontId="0" fillId="0" borderId="0" xfId="0" applyNumberFormat="1"/>
    <xf numFmtId="2" fontId="0" fillId="0" borderId="0" xfId="0" applyNumberFormat="1"/>
    <xf numFmtId="2" fontId="0" fillId="2" borderId="6" xfId="0" applyNumberFormat="1" applyFont="1" applyFill="1" applyBorder="1" applyAlignment="1">
      <alignment horizontal="right"/>
    </xf>
    <xf numFmtId="1" fontId="0" fillId="2" borderId="6" xfId="0" applyNumberFormat="1" applyFont="1" applyFill="1" applyBorder="1" applyAlignment="1">
      <alignment horizontal="right"/>
    </xf>
    <xf numFmtId="0" fontId="0" fillId="2" borderId="6" xfId="0" applyFont="1" applyFill="1" applyBorder="1" applyAlignment="1">
      <alignment horizontal="left"/>
    </xf>
    <xf numFmtId="164" fontId="0" fillId="2" borderId="6" xfId="0" applyNumberFormat="1" applyFont="1" applyFill="1" applyBorder="1" applyAlignment="1">
      <alignment horizontal="left"/>
    </xf>
    <xf numFmtId="1" fontId="0" fillId="2" borderId="6" xfId="0" applyNumberFormat="1" applyFont="1" applyFill="1" applyBorder="1" applyAlignment="1">
      <alignment horizontal="left"/>
    </xf>
    <xf numFmtId="0" fontId="0" fillId="2" borderId="6" xfId="0" applyNumberFormat="1" applyFont="1" applyFill="1" applyBorder="1" applyAlignment="1">
      <alignment horizontal="right"/>
    </xf>
    <xf numFmtId="0" fontId="0" fillId="2" borderId="0" xfId="0" applyFill="1"/>
    <xf numFmtId="4" fontId="0" fillId="2" borderId="6" xfId="0" applyNumberFormat="1" applyFont="1" applyFill="1" applyBorder="1" applyAlignment="1">
      <alignment horizontal="right"/>
    </xf>
    <xf numFmtId="4" fontId="0" fillId="0" borderId="0" xfId="0" applyNumberFormat="1" applyAlignment="1">
      <alignment horizontal="left"/>
    </xf>
    <xf numFmtId="1" fontId="0" fillId="3" borderId="6" xfId="0" applyNumberFormat="1" applyFont="1" applyFill="1" applyBorder="1" applyAlignment="1">
      <alignment horizontal="right"/>
    </xf>
    <xf numFmtId="0" fontId="0" fillId="3" borderId="6" xfId="0" applyFont="1" applyFill="1" applyBorder="1" applyAlignment="1">
      <alignment horizontal="left"/>
    </xf>
    <xf numFmtId="164" fontId="0" fillId="3" borderId="6" xfId="0" applyNumberFormat="1" applyFont="1" applyFill="1" applyBorder="1" applyAlignment="1">
      <alignment horizontal="left"/>
    </xf>
    <xf numFmtId="1" fontId="0" fillId="3" borderId="6" xfId="0" applyNumberFormat="1" applyFont="1" applyFill="1" applyBorder="1" applyAlignment="1">
      <alignment horizontal="left"/>
    </xf>
    <xf numFmtId="4" fontId="0" fillId="3" borderId="6" xfId="0" applyNumberFormat="1" applyFont="1" applyFill="1" applyBorder="1" applyAlignment="1">
      <alignment horizontal="right"/>
    </xf>
    <xf numFmtId="2" fontId="0" fillId="3" borderId="6" xfId="0" applyNumberFormat="1" applyFont="1" applyFill="1" applyBorder="1" applyAlignment="1">
      <alignment horizontal="right"/>
    </xf>
    <xf numFmtId="0" fontId="0" fillId="3" borderId="6" xfId="0" applyNumberFormat="1" applyFont="1" applyFill="1" applyBorder="1" applyAlignment="1">
      <alignment horizontal="right"/>
    </xf>
    <xf numFmtId="0" fontId="0" fillId="3" borderId="0" xfId="0" applyFill="1"/>
    <xf numFmtId="0" fontId="4" fillId="0" borderId="0" xfId="1"/>
    <xf numFmtId="0" fontId="2" fillId="0" borderId="0" xfId="1" applyFont="1" applyAlignment="1">
      <alignment horizontal="left"/>
    </xf>
    <xf numFmtId="0" fontId="2" fillId="0" borderId="1" xfId="1" applyNumberFormat="1" applyFont="1" applyBorder="1" applyAlignment="1">
      <alignment horizontal="center"/>
    </xf>
    <xf numFmtId="0" fontId="2" fillId="0" borderId="2" xfId="1" applyNumberFormat="1" applyFont="1" applyBorder="1" applyAlignment="1">
      <alignment horizontal="center"/>
    </xf>
    <xf numFmtId="0" fontId="2" fillId="0" borderId="3" xfId="1" applyNumberFormat="1" applyFont="1" applyBorder="1" applyAlignment="1">
      <alignment horizontal="center"/>
    </xf>
    <xf numFmtId="0" fontId="2" fillId="0" borderId="4" xfId="1" applyNumberFormat="1" applyFont="1" applyBorder="1" applyAlignment="1">
      <alignment horizontal="center"/>
    </xf>
    <xf numFmtId="0" fontId="2" fillId="0" borderId="5" xfId="1" applyNumberFormat="1" applyFont="1" applyBorder="1" applyAlignment="1">
      <alignment horizontal="center"/>
    </xf>
    <xf numFmtId="1" fontId="4" fillId="0" borderId="6" xfId="1" applyNumberFormat="1" applyFont="1" applyBorder="1" applyAlignment="1">
      <alignment horizontal="right"/>
    </xf>
    <xf numFmtId="0" fontId="4" fillId="0" borderId="6" xfId="1" applyFont="1" applyBorder="1" applyAlignment="1">
      <alignment horizontal="left"/>
    </xf>
    <xf numFmtId="164" fontId="4" fillId="0" borderId="6" xfId="1" applyNumberFormat="1" applyFont="1" applyBorder="1" applyAlignment="1">
      <alignment horizontal="left"/>
    </xf>
    <xf numFmtId="1" fontId="4" fillId="0" borderId="6" xfId="1" applyNumberFormat="1" applyFont="1" applyBorder="1" applyAlignment="1">
      <alignment horizontal="left"/>
    </xf>
    <xf numFmtId="4" fontId="4" fillId="0" borderId="6" xfId="1" applyNumberFormat="1" applyFont="1" applyBorder="1" applyAlignment="1">
      <alignment horizontal="right"/>
    </xf>
    <xf numFmtId="2" fontId="4" fillId="0" borderId="6" xfId="1" applyNumberFormat="1" applyFont="1" applyBorder="1" applyAlignment="1">
      <alignment horizontal="right"/>
    </xf>
    <xf numFmtId="0" fontId="4" fillId="0" borderId="6" xfId="1" applyNumberFormat="1" applyFont="1" applyBorder="1" applyAlignment="1">
      <alignment horizontal="right"/>
    </xf>
    <xf numFmtId="0" fontId="1" fillId="0" borderId="7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9" xfId="1" applyNumberFormat="1" applyFont="1" applyBorder="1" applyAlignment="1">
      <alignment horizontal="right"/>
    </xf>
    <xf numFmtId="4" fontId="1" fillId="0" borderId="6" xfId="1" applyNumberFormat="1" applyFont="1" applyBorder="1" applyAlignment="1">
      <alignment horizontal="right"/>
    </xf>
    <xf numFmtId="2" fontId="1" fillId="0" borderId="6" xfId="1" applyNumberFormat="1" applyFont="1" applyBorder="1" applyAlignment="1">
      <alignment horizontal="right"/>
    </xf>
    <xf numFmtId="0" fontId="1" fillId="0" borderId="6" xfId="1" applyNumberFormat="1" applyFont="1" applyBorder="1" applyAlignment="1">
      <alignment horizontal="right"/>
    </xf>
    <xf numFmtId="0" fontId="1" fillId="0" borderId="6" xfId="1" applyFont="1" applyBorder="1" applyAlignment="1">
      <alignment horizontal="left"/>
    </xf>
    <xf numFmtId="0" fontId="2" fillId="0" borderId="0" xfId="1" applyNumberFormat="1" applyFont="1" applyAlignment="1"/>
    <xf numFmtId="0" fontId="4" fillId="0" borderId="0" xfId="2"/>
    <xf numFmtId="0" fontId="2" fillId="0" borderId="0" xfId="2" applyFont="1" applyAlignment="1">
      <alignment horizontal="left"/>
    </xf>
    <xf numFmtId="0" fontId="2" fillId="0" borderId="1" xfId="2" applyNumberFormat="1" applyFont="1" applyBorder="1" applyAlignment="1">
      <alignment horizontal="center"/>
    </xf>
    <xf numFmtId="0" fontId="2" fillId="0" borderId="2" xfId="2" applyNumberFormat="1" applyFont="1" applyBorder="1" applyAlignment="1">
      <alignment horizontal="center"/>
    </xf>
    <xf numFmtId="0" fontId="2" fillId="0" borderId="3" xfId="2" applyNumberFormat="1" applyFont="1" applyBorder="1" applyAlignment="1">
      <alignment horizontal="center"/>
    </xf>
    <xf numFmtId="0" fontId="2" fillId="0" borderId="4" xfId="2" applyNumberFormat="1" applyFont="1" applyBorder="1" applyAlignment="1">
      <alignment horizontal="center"/>
    </xf>
    <xf numFmtId="0" fontId="2" fillId="0" borderId="5" xfId="2" applyNumberFormat="1" applyFont="1" applyBorder="1" applyAlignment="1">
      <alignment horizontal="center"/>
    </xf>
    <xf numFmtId="1" fontId="4" fillId="0" borderId="6" xfId="2" applyNumberFormat="1" applyFont="1" applyBorder="1" applyAlignment="1">
      <alignment horizontal="right"/>
    </xf>
    <xf numFmtId="0" fontId="4" fillId="0" borderId="6" xfId="2" applyFont="1" applyBorder="1" applyAlignment="1">
      <alignment horizontal="left"/>
    </xf>
    <xf numFmtId="164" fontId="4" fillId="0" borderId="6" xfId="2" applyNumberFormat="1" applyFont="1" applyBorder="1" applyAlignment="1">
      <alignment horizontal="left"/>
    </xf>
    <xf numFmtId="1" fontId="4" fillId="0" borderId="6" xfId="2" applyNumberFormat="1" applyFont="1" applyBorder="1" applyAlignment="1">
      <alignment horizontal="left"/>
    </xf>
    <xf numFmtId="4" fontId="4" fillId="0" borderId="6" xfId="2" applyNumberFormat="1" applyFont="1" applyBorder="1" applyAlignment="1">
      <alignment horizontal="right"/>
    </xf>
    <xf numFmtId="0" fontId="4" fillId="0" borderId="6" xfId="2" applyNumberFormat="1" applyFont="1" applyBorder="1" applyAlignment="1">
      <alignment horizontal="right"/>
    </xf>
    <xf numFmtId="2" fontId="4" fillId="0" borderId="6" xfId="2" applyNumberFormat="1" applyFont="1" applyBorder="1" applyAlignment="1">
      <alignment horizontal="right"/>
    </xf>
    <xf numFmtId="0" fontId="1" fillId="0" borderId="7" xfId="2" applyFont="1" applyBorder="1" applyAlignment="1">
      <alignment horizontal="left"/>
    </xf>
    <xf numFmtId="0" fontId="1" fillId="0" borderId="8" xfId="2" applyFont="1" applyBorder="1" applyAlignment="1">
      <alignment horizontal="left"/>
    </xf>
    <xf numFmtId="0" fontId="1" fillId="0" borderId="9" xfId="2" applyNumberFormat="1" applyFont="1" applyBorder="1" applyAlignment="1">
      <alignment horizontal="right"/>
    </xf>
    <xf numFmtId="4" fontId="1" fillId="0" borderId="6" xfId="2" applyNumberFormat="1" applyFont="1" applyBorder="1" applyAlignment="1">
      <alignment horizontal="right"/>
    </xf>
    <xf numFmtId="0" fontId="1" fillId="0" borderId="6" xfId="2" applyNumberFormat="1" applyFont="1" applyBorder="1" applyAlignment="1">
      <alignment horizontal="right"/>
    </xf>
    <xf numFmtId="0" fontId="1" fillId="0" borderId="6" xfId="2" applyFont="1" applyBorder="1" applyAlignment="1">
      <alignment horizontal="left"/>
    </xf>
    <xf numFmtId="2" fontId="0" fillId="3" borderId="0" xfId="0" applyNumberFormat="1" applyFill="1"/>
    <xf numFmtId="0" fontId="5" fillId="0" borderId="1" xfId="2" applyNumberFormat="1" applyFont="1" applyBorder="1" applyAlignment="1">
      <alignment horizontal="center"/>
    </xf>
    <xf numFmtId="2" fontId="0" fillId="0" borderId="6" xfId="0" applyNumberFormat="1" applyBorder="1"/>
    <xf numFmtId="2" fontId="2" fillId="0" borderId="1" xfId="2" applyNumberFormat="1" applyFont="1" applyFill="1" applyBorder="1" applyAlignment="1">
      <alignment horizontal="center"/>
    </xf>
    <xf numFmtId="2" fontId="0" fillId="0" borderId="3" xfId="0" applyNumberFormat="1" applyBorder="1"/>
    <xf numFmtId="0" fontId="5" fillId="0" borderId="1" xfId="1" applyNumberFormat="1" applyFont="1" applyBorder="1" applyAlignment="1">
      <alignment horizontal="center"/>
    </xf>
    <xf numFmtId="4" fontId="0" fillId="0" borderId="6" xfId="0" applyNumberFormat="1" applyBorder="1"/>
    <xf numFmtId="0" fontId="5" fillId="0" borderId="1" xfId="1" applyNumberFormat="1" applyFont="1" applyFill="1" applyBorder="1" applyAlignment="1">
      <alignment horizontal="center"/>
    </xf>
    <xf numFmtId="0" fontId="0" fillId="0" borderId="3" xfId="0" applyBorder="1"/>
    <xf numFmtId="0" fontId="4" fillId="0" borderId="0" xfId="3"/>
    <xf numFmtId="0" fontId="5" fillId="0" borderId="0" xfId="3" applyFont="1" applyAlignment="1">
      <alignment horizontal="left"/>
    </xf>
    <xf numFmtId="0" fontId="5" fillId="0" borderId="1" xfId="3" applyNumberFormat="1" applyFont="1" applyBorder="1" applyAlignment="1">
      <alignment horizontal="center"/>
    </xf>
    <xf numFmtId="0" fontId="5" fillId="0" borderId="2" xfId="3" applyNumberFormat="1" applyFont="1" applyBorder="1" applyAlignment="1">
      <alignment horizontal="center"/>
    </xf>
    <xf numFmtId="0" fontId="5" fillId="0" borderId="3" xfId="3" applyNumberFormat="1" applyFont="1" applyBorder="1" applyAlignment="1">
      <alignment horizontal="center"/>
    </xf>
    <xf numFmtId="0" fontId="5" fillId="0" borderId="4" xfId="3" applyNumberFormat="1" applyFont="1" applyBorder="1" applyAlignment="1">
      <alignment horizontal="center"/>
    </xf>
    <xf numFmtId="0" fontId="5" fillId="0" borderId="5" xfId="3" applyNumberFormat="1" applyFont="1" applyBorder="1" applyAlignment="1">
      <alignment horizontal="center"/>
    </xf>
    <xf numFmtId="1" fontId="4" fillId="0" borderId="6" xfId="3" applyNumberFormat="1" applyFont="1" applyBorder="1" applyAlignment="1">
      <alignment horizontal="right"/>
    </xf>
    <xf numFmtId="0" fontId="4" fillId="0" borderId="6" xfId="3" applyFont="1" applyBorder="1" applyAlignment="1">
      <alignment horizontal="left"/>
    </xf>
    <xf numFmtId="164" fontId="4" fillId="0" borderId="6" xfId="3" applyNumberFormat="1" applyFont="1" applyBorder="1" applyAlignment="1">
      <alignment horizontal="left"/>
    </xf>
    <xf numFmtId="4" fontId="4" fillId="0" borderId="6" xfId="3" applyNumberFormat="1" applyFont="1" applyBorder="1" applyAlignment="1">
      <alignment horizontal="right"/>
    </xf>
    <xf numFmtId="2" fontId="4" fillId="0" borderId="6" xfId="3" applyNumberFormat="1" applyFont="1" applyBorder="1" applyAlignment="1">
      <alignment horizontal="right"/>
    </xf>
    <xf numFmtId="0" fontId="4" fillId="0" borderId="6" xfId="3" applyNumberFormat="1" applyFont="1" applyBorder="1" applyAlignment="1">
      <alignment horizontal="right"/>
    </xf>
    <xf numFmtId="0" fontId="6" fillId="0" borderId="7" xfId="3" applyFont="1" applyBorder="1" applyAlignment="1">
      <alignment horizontal="left"/>
    </xf>
    <xf numFmtId="0" fontId="6" fillId="0" borderId="8" xfId="3" applyFont="1" applyBorder="1" applyAlignment="1">
      <alignment horizontal="left"/>
    </xf>
    <xf numFmtId="0" fontId="6" fillId="0" borderId="9" xfId="3" applyNumberFormat="1" applyFont="1" applyBorder="1" applyAlignment="1">
      <alignment horizontal="right"/>
    </xf>
    <xf numFmtId="4" fontId="6" fillId="0" borderId="6" xfId="3" applyNumberFormat="1" applyFont="1" applyBorder="1" applyAlignment="1">
      <alignment horizontal="right"/>
    </xf>
    <xf numFmtId="2" fontId="6" fillId="0" borderId="6" xfId="3" applyNumberFormat="1" applyFont="1" applyBorder="1" applyAlignment="1">
      <alignment horizontal="right"/>
    </xf>
    <xf numFmtId="0" fontId="6" fillId="0" borderId="6" xfId="3" applyNumberFormat="1" applyFont="1" applyBorder="1" applyAlignment="1">
      <alignment horizontal="right"/>
    </xf>
    <xf numFmtId="0" fontId="6" fillId="0" borderId="6" xfId="3" applyFont="1" applyBorder="1" applyAlignment="1">
      <alignment horizontal="left"/>
    </xf>
    <xf numFmtId="4" fontId="0" fillId="0" borderId="1" xfId="0" applyNumberFormat="1" applyBorder="1"/>
    <xf numFmtId="4" fontId="0" fillId="0" borderId="10" xfId="0" applyNumberFormat="1" applyBorder="1"/>
    <xf numFmtId="4" fontId="0" fillId="0" borderId="3" xfId="0" applyNumberFormat="1" applyBorder="1"/>
    <xf numFmtId="0" fontId="4" fillId="0" borderId="0" xfId="4"/>
    <xf numFmtId="0" fontId="5" fillId="0" borderId="0" xfId="4" applyFont="1" applyAlignment="1">
      <alignment horizontal="left"/>
    </xf>
    <xf numFmtId="1" fontId="5" fillId="0" borderId="0" xfId="4" applyNumberFormat="1" applyFont="1" applyAlignment="1">
      <alignment horizontal="left"/>
    </xf>
    <xf numFmtId="0" fontId="5" fillId="0" borderId="1" xfId="4" applyNumberFormat="1" applyFont="1" applyBorder="1" applyAlignment="1">
      <alignment horizontal="center"/>
    </xf>
    <xf numFmtId="0" fontId="5" fillId="0" borderId="11" xfId="4" applyNumberFormat="1" applyFont="1" applyBorder="1" applyAlignment="1">
      <alignment horizontal="center"/>
    </xf>
    <xf numFmtId="0" fontId="5" fillId="0" borderId="3" xfId="4" applyNumberFormat="1" applyFont="1" applyBorder="1" applyAlignment="1">
      <alignment horizontal="center"/>
    </xf>
    <xf numFmtId="0" fontId="5" fillId="0" borderId="4" xfId="4" applyNumberFormat="1" applyFont="1" applyBorder="1" applyAlignment="1">
      <alignment horizontal="center"/>
    </xf>
    <xf numFmtId="1" fontId="4" fillId="0" borderId="6" xfId="4" applyNumberFormat="1" applyFont="1" applyBorder="1" applyAlignment="1">
      <alignment horizontal="right"/>
    </xf>
    <xf numFmtId="1" fontId="4" fillId="0" borderId="6" xfId="4" applyNumberFormat="1" applyFont="1" applyBorder="1" applyAlignment="1">
      <alignment horizontal="left"/>
    </xf>
    <xf numFmtId="0" fontId="4" fillId="0" borderId="6" xfId="4" applyFont="1" applyBorder="1" applyAlignment="1">
      <alignment horizontal="left"/>
    </xf>
    <xf numFmtId="0" fontId="4" fillId="0" borderId="6" xfId="4" applyNumberFormat="1" applyFont="1" applyBorder="1" applyAlignment="1">
      <alignment horizontal="right"/>
    </xf>
    <xf numFmtId="2" fontId="4" fillId="0" borderId="6" xfId="4" applyNumberFormat="1" applyFont="1" applyBorder="1" applyAlignment="1">
      <alignment horizontal="right"/>
    </xf>
    <xf numFmtId="4" fontId="4" fillId="0" borderId="6" xfId="4" applyNumberFormat="1" applyFont="1" applyBorder="1" applyAlignment="1">
      <alignment horizontal="right"/>
    </xf>
    <xf numFmtId="0" fontId="6" fillId="0" borderId="7" xfId="4" applyFont="1" applyBorder="1" applyAlignment="1">
      <alignment horizontal="left"/>
    </xf>
    <xf numFmtId="0" fontId="6" fillId="0" borderId="8" xfId="4" applyFont="1" applyBorder="1" applyAlignment="1">
      <alignment horizontal="left"/>
    </xf>
    <xf numFmtId="0" fontId="6" fillId="0" borderId="9" xfId="4" applyNumberFormat="1" applyFont="1" applyBorder="1" applyAlignment="1">
      <alignment horizontal="right"/>
    </xf>
    <xf numFmtId="4" fontId="6" fillId="0" borderId="6" xfId="4" applyNumberFormat="1" applyFont="1" applyBorder="1" applyAlignment="1">
      <alignment horizontal="right"/>
    </xf>
    <xf numFmtId="2" fontId="6" fillId="0" borderId="6" xfId="4" applyNumberFormat="1" applyFont="1" applyBorder="1" applyAlignment="1">
      <alignment horizontal="right"/>
    </xf>
    <xf numFmtId="0" fontId="6" fillId="0" borderId="6" xfId="4" applyNumberFormat="1" applyFont="1" applyBorder="1" applyAlignment="1">
      <alignment horizontal="right"/>
    </xf>
    <xf numFmtId="4" fontId="7" fillId="0" borderId="6" xfId="1" applyNumberFormat="1" applyFont="1" applyBorder="1" applyAlignment="1">
      <alignment horizontal="right"/>
    </xf>
    <xf numFmtId="2" fontId="7" fillId="0" borderId="6" xfId="1" applyNumberFormat="1" applyFont="1" applyBorder="1" applyAlignment="1">
      <alignment horizontal="right"/>
    </xf>
    <xf numFmtId="4" fontId="3" fillId="0" borderId="6" xfId="0" applyNumberFormat="1" applyFont="1" applyBorder="1"/>
    <xf numFmtId="4" fontId="4" fillId="0" borderId="10" xfId="1" applyNumberFormat="1" applyFont="1" applyFill="1" applyBorder="1" applyAlignment="1">
      <alignment horizontal="right"/>
    </xf>
    <xf numFmtId="0" fontId="3" fillId="0" borderId="0" xfId="0" applyFont="1"/>
    <xf numFmtId="4" fontId="0" fillId="0" borderId="0" xfId="0" applyNumberFormat="1" applyFont="1" applyBorder="1" applyAlignment="1">
      <alignment horizontal="right"/>
    </xf>
    <xf numFmtId="2" fontId="0" fillId="0" borderId="0" xfId="0" applyNumberFormat="1" applyFont="1" applyBorder="1" applyAlignment="1">
      <alignment horizontal="right"/>
    </xf>
    <xf numFmtId="0" fontId="0" fillId="0" borderId="1" xfId="0" applyFont="1" applyBorder="1" applyAlignment="1">
      <alignment horizontal="left"/>
    </xf>
    <xf numFmtId="1" fontId="0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horizontal="left"/>
    </xf>
    <xf numFmtId="1" fontId="0" fillId="0" borderId="0" xfId="0" applyNumberFormat="1" applyFont="1" applyBorder="1" applyAlignment="1">
      <alignment horizontal="right"/>
    </xf>
    <xf numFmtId="0" fontId="0" fillId="0" borderId="0" xfId="0" applyFont="1" applyBorder="1" applyAlignment="1">
      <alignment horizontal="left"/>
    </xf>
    <xf numFmtId="164" fontId="0" fillId="0" borderId="0" xfId="0" applyNumberFormat="1" applyFont="1" applyBorder="1" applyAlignment="1">
      <alignment horizontal="left"/>
    </xf>
    <xf numFmtId="1" fontId="0" fillId="0" borderId="0" xfId="0" applyNumberFormat="1" applyFont="1" applyBorder="1" applyAlignment="1">
      <alignment horizontal="left"/>
    </xf>
    <xf numFmtId="4" fontId="0" fillId="0" borderId="0" xfId="0" applyNumberFormat="1" applyBorder="1"/>
    <xf numFmtId="0" fontId="0" fillId="0" borderId="0" xfId="0" applyBorder="1"/>
    <xf numFmtId="4" fontId="4" fillId="0" borderId="12" xfId="1" applyNumberFormat="1" applyFont="1" applyFill="1" applyBorder="1" applyAlignment="1">
      <alignment horizontal="right"/>
    </xf>
    <xf numFmtId="4" fontId="0" fillId="0" borderId="0" xfId="0" applyNumberFormat="1" applyFill="1" applyBorder="1"/>
    <xf numFmtId="1" fontId="0" fillId="0" borderId="14" xfId="0" applyNumberFormat="1" applyFont="1" applyBorder="1" applyAlignment="1">
      <alignment horizontal="right"/>
    </xf>
    <xf numFmtId="0" fontId="0" fillId="0" borderId="4" xfId="0" applyFont="1" applyBorder="1" applyAlignment="1">
      <alignment horizontal="left"/>
    </xf>
    <xf numFmtId="164" fontId="0" fillId="0" borderId="4" xfId="0" applyNumberFormat="1" applyFont="1" applyBorder="1" applyAlignment="1">
      <alignment horizontal="left"/>
    </xf>
    <xf numFmtId="1" fontId="0" fillId="0" borderId="4" xfId="0" applyNumberFormat="1" applyFont="1" applyBorder="1" applyAlignment="1">
      <alignment horizontal="left"/>
    </xf>
    <xf numFmtId="1" fontId="0" fillId="0" borderId="4" xfId="0" applyNumberFormat="1" applyFont="1" applyBorder="1" applyAlignment="1">
      <alignment horizontal="right"/>
    </xf>
    <xf numFmtId="4" fontId="0" fillId="0" borderId="4" xfId="0" applyNumberFormat="1" applyBorder="1"/>
    <xf numFmtId="4" fontId="0" fillId="0" borderId="4" xfId="0" applyNumberFormat="1" applyFont="1" applyBorder="1" applyAlignment="1">
      <alignment horizontal="right"/>
    </xf>
    <xf numFmtId="2" fontId="0" fillId="0" borderId="4" xfId="0" applyNumberFormat="1" applyFont="1" applyBorder="1" applyAlignment="1">
      <alignment horizontal="right"/>
    </xf>
    <xf numFmtId="0" fontId="0" fillId="0" borderId="1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3" xfId="0" applyBorder="1" applyAlignment="1">
      <alignment horizontal="left"/>
    </xf>
    <xf numFmtId="1" fontId="0" fillId="0" borderId="12" xfId="0" applyNumberFormat="1" applyFont="1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13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0" fillId="0" borderId="10" xfId="0" applyFont="1" applyBorder="1" applyAlignment="1">
      <alignment horizontal="left"/>
    </xf>
    <xf numFmtId="0" fontId="0" fillId="0" borderId="13" xfId="0" applyBorder="1" applyAlignment="1">
      <alignment horizontal="left"/>
    </xf>
    <xf numFmtId="1" fontId="0" fillId="0" borderId="13" xfId="0" applyNumberFormat="1" applyFont="1" applyBorder="1" applyAlignment="1">
      <alignment horizontal="left"/>
    </xf>
    <xf numFmtId="1" fontId="0" fillId="0" borderId="5" xfId="0" applyNumberFormat="1" applyFont="1" applyBorder="1" applyAlignment="1">
      <alignment horizontal="left"/>
    </xf>
    <xf numFmtId="0" fontId="0" fillId="0" borderId="4" xfId="0" applyBorder="1"/>
    <xf numFmtId="0" fontId="0" fillId="0" borderId="12" xfId="0" applyBorder="1" applyAlignment="1">
      <alignment horizontal="left"/>
    </xf>
    <xf numFmtId="0" fontId="0" fillId="0" borderId="14" xfId="0" applyBorder="1" applyAlignment="1">
      <alignment horizontal="left"/>
    </xf>
    <xf numFmtId="0" fontId="10" fillId="0" borderId="10" xfId="0" applyNumberFormat="1" applyFont="1" applyBorder="1" applyAlignment="1">
      <alignment horizontal="center"/>
    </xf>
    <xf numFmtId="0" fontId="10" fillId="0" borderId="13" xfId="0" applyNumberFormat="1" applyFont="1" applyBorder="1" applyAlignment="1">
      <alignment horizontal="center"/>
    </xf>
    <xf numFmtId="4" fontId="0" fillId="2" borderId="0" xfId="0" applyNumberFormat="1" applyFill="1" applyBorder="1"/>
    <xf numFmtId="0" fontId="0" fillId="2" borderId="0" xfId="0" applyFill="1" applyBorder="1"/>
    <xf numFmtId="164" fontId="0" fillId="2" borderId="0" xfId="0" applyNumberFormat="1" applyFont="1" applyFill="1" applyBorder="1" applyAlignment="1">
      <alignment horizontal="left"/>
    </xf>
    <xf numFmtId="2" fontId="0" fillId="0" borderId="0" xfId="0" applyNumberFormat="1" applyBorder="1"/>
    <xf numFmtId="1" fontId="0" fillId="2" borderId="12" xfId="0" applyNumberFormat="1" applyFont="1" applyFill="1" applyBorder="1" applyAlignment="1">
      <alignment horizontal="right"/>
    </xf>
    <xf numFmtId="2" fontId="0" fillId="0" borderId="4" xfId="0" applyNumberFormat="1" applyBorder="1"/>
    <xf numFmtId="1" fontId="0" fillId="3" borderId="0" xfId="0" applyNumberFormat="1" applyFont="1" applyFill="1" applyBorder="1" applyAlignment="1">
      <alignment horizontal="right"/>
    </xf>
    <xf numFmtId="164" fontId="0" fillId="3" borderId="0" xfId="0" applyNumberFormat="1" applyFont="1" applyFill="1" applyBorder="1" applyAlignment="1">
      <alignment horizontal="left"/>
    </xf>
    <xf numFmtId="4" fontId="0" fillId="3" borderId="0" xfId="0" applyNumberFormat="1" applyFill="1" applyBorder="1"/>
    <xf numFmtId="0" fontId="0" fillId="3" borderId="0" xfId="0" applyFill="1" applyBorder="1"/>
    <xf numFmtId="4" fontId="0" fillId="2" borderId="0" xfId="0" applyNumberFormat="1" applyFont="1" applyFill="1" applyBorder="1" applyAlignment="1">
      <alignment horizontal="right"/>
    </xf>
    <xf numFmtId="0" fontId="0" fillId="2" borderId="10" xfId="0" applyFont="1" applyFill="1" applyBorder="1" applyAlignment="1">
      <alignment horizontal="left"/>
    </xf>
    <xf numFmtId="1" fontId="0" fillId="3" borderId="12" xfId="0" applyNumberFormat="1" applyFont="1" applyFill="1" applyBorder="1" applyAlignment="1">
      <alignment horizontal="right"/>
    </xf>
    <xf numFmtId="0" fontId="0" fillId="3" borderId="10" xfId="0" applyFont="1" applyFill="1" applyBorder="1" applyAlignment="1">
      <alignment horizontal="left"/>
    </xf>
    <xf numFmtId="1" fontId="0" fillId="3" borderId="14" xfId="0" applyNumberFormat="1" applyFont="1" applyFill="1" applyBorder="1" applyAlignment="1">
      <alignment horizontal="right"/>
    </xf>
    <xf numFmtId="0" fontId="0" fillId="3" borderId="3" xfId="0" applyFont="1" applyFill="1" applyBorder="1" applyAlignment="1">
      <alignment horizontal="left"/>
    </xf>
    <xf numFmtId="164" fontId="0" fillId="3" borderId="4" xfId="0" applyNumberFormat="1" applyFont="1" applyFill="1" applyBorder="1" applyAlignment="1">
      <alignment horizontal="left"/>
    </xf>
    <xf numFmtId="1" fontId="0" fillId="3" borderId="4" xfId="0" applyNumberFormat="1" applyFont="1" applyFill="1" applyBorder="1" applyAlignment="1">
      <alignment horizontal="right"/>
    </xf>
    <xf numFmtId="4" fontId="0" fillId="3" borderId="4" xfId="0" applyNumberFormat="1" applyFill="1" applyBorder="1"/>
    <xf numFmtId="0" fontId="0" fillId="3" borderId="4" xfId="0" applyFill="1" applyBorder="1"/>
    <xf numFmtId="4" fontId="0" fillId="3" borderId="4" xfId="0" applyNumberFormat="1" applyFont="1" applyFill="1" applyBorder="1" applyAlignment="1">
      <alignment horizontal="right"/>
    </xf>
    <xf numFmtId="2" fontId="0" fillId="3" borderId="4" xfId="0" applyNumberFormat="1" applyFont="1" applyFill="1" applyBorder="1" applyAlignment="1">
      <alignment horizontal="right"/>
    </xf>
    <xf numFmtId="2" fontId="0" fillId="3" borderId="0" xfId="0" applyNumberFormat="1" applyFont="1" applyFill="1" applyBorder="1" applyAlignment="1">
      <alignment horizontal="right"/>
    </xf>
    <xf numFmtId="0" fontId="2" fillId="0" borderId="0" xfId="0" applyFont="1" applyAlignment="1">
      <alignment horizontal="left"/>
    </xf>
    <xf numFmtId="0" fontId="10" fillId="0" borderId="2" xfId="0" applyNumberFormat="1" applyFont="1" applyBorder="1" applyAlignment="1">
      <alignment horizontal="center"/>
    </xf>
    <xf numFmtId="0" fontId="10" fillId="0" borderId="1" xfId="0" applyNumberFormat="1" applyFont="1" applyBorder="1" applyAlignment="1">
      <alignment horizontal="center"/>
    </xf>
    <xf numFmtId="4" fontId="10" fillId="0" borderId="1" xfId="0" applyNumberFormat="1" applyFont="1" applyBorder="1" applyAlignment="1">
      <alignment horizontal="center"/>
    </xf>
    <xf numFmtId="4" fontId="10" fillId="0" borderId="10" xfId="0" applyNumberFormat="1" applyFont="1" applyBorder="1" applyAlignment="1">
      <alignment horizontal="center"/>
    </xf>
    <xf numFmtId="4" fontId="0" fillId="0" borderId="0" xfId="0" applyNumberFormat="1" applyAlignment="1">
      <alignment horizontal="right"/>
    </xf>
    <xf numFmtId="4" fontId="0" fillId="0" borderId="10" xfId="0" applyNumberFormat="1" applyFont="1" applyBorder="1" applyAlignment="1">
      <alignment horizontal="right"/>
    </xf>
    <xf numFmtId="4" fontId="0" fillId="0" borderId="3" xfId="0" applyNumberFormat="1" applyFont="1" applyBorder="1" applyAlignment="1">
      <alignment horizontal="right"/>
    </xf>
    <xf numFmtId="4" fontId="0" fillId="0" borderId="1" xfId="0" applyNumberFormat="1" applyFont="1" applyBorder="1" applyAlignment="1">
      <alignment horizontal="right"/>
    </xf>
    <xf numFmtId="4" fontId="0" fillId="0" borderId="12" xfId="0" applyNumberFormat="1" applyFont="1" applyBorder="1" applyAlignment="1">
      <alignment horizontal="right"/>
    </xf>
    <xf numFmtId="4" fontId="0" fillId="0" borderId="14" xfId="0" applyNumberFormat="1" applyFont="1" applyBorder="1" applyAlignment="1">
      <alignment horizontal="right"/>
    </xf>
    <xf numFmtId="4" fontId="0" fillId="3" borderId="3" xfId="0" applyNumberFormat="1" applyFont="1" applyFill="1" applyBorder="1" applyAlignment="1">
      <alignment horizontal="right"/>
    </xf>
    <xf numFmtId="4" fontId="0" fillId="0" borderId="10" xfId="0" applyNumberFormat="1" applyFont="1" applyBorder="1"/>
    <xf numFmtId="4" fontId="0" fillId="0" borderId="13" xfId="0" applyNumberFormat="1" applyFont="1" applyBorder="1"/>
    <xf numFmtId="4" fontId="0" fillId="0" borderId="3" xfId="0" applyNumberFormat="1" applyFont="1" applyBorder="1"/>
    <xf numFmtId="4" fontId="0" fillId="0" borderId="5" xfId="0" applyNumberFormat="1" applyFont="1" applyBorder="1"/>
    <xf numFmtId="4" fontId="0" fillId="0" borderId="0" xfId="0" applyNumberFormat="1" applyFont="1" applyBorder="1"/>
    <xf numFmtId="4" fontId="0" fillId="0" borderId="4" xfId="0" applyNumberFormat="1" applyFont="1" applyBorder="1"/>
    <xf numFmtId="4" fontId="0" fillId="0" borderId="12" xfId="0" applyNumberFormat="1" applyFont="1" applyBorder="1"/>
    <xf numFmtId="4" fontId="0" fillId="0" borderId="0" xfId="0" applyNumberFormat="1" applyFont="1"/>
    <xf numFmtId="4" fontId="0" fillId="3" borderId="10" xfId="0" applyNumberFormat="1" applyFont="1" applyFill="1" applyBorder="1"/>
    <xf numFmtId="4" fontId="0" fillId="3" borderId="13" xfId="0" applyNumberFormat="1" applyFont="1" applyFill="1" applyBorder="1"/>
    <xf numFmtId="4" fontId="0" fillId="3" borderId="3" xfId="0" applyNumberFormat="1" applyFont="1" applyFill="1" applyBorder="1"/>
    <xf numFmtId="4" fontId="0" fillId="3" borderId="5" xfId="0" applyNumberFormat="1" applyFont="1" applyFill="1" applyBorder="1"/>
    <xf numFmtId="0" fontId="0" fillId="0" borderId="0" xfId="0" applyAlignment="1">
      <alignment horizontal="center"/>
    </xf>
    <xf numFmtId="1" fontId="8" fillId="0" borderId="7" xfId="0" applyNumberFormat="1" applyFont="1" applyBorder="1" applyAlignment="1">
      <alignment horizontal="right"/>
    </xf>
    <xf numFmtId="0" fontId="8" fillId="0" borderId="6" xfId="0" applyFont="1" applyBorder="1" applyAlignment="1">
      <alignment horizontal="left"/>
    </xf>
    <xf numFmtId="164" fontId="8" fillId="0" borderId="8" xfId="0" applyNumberFormat="1" applyFont="1" applyBorder="1" applyAlignment="1">
      <alignment horizontal="left"/>
    </xf>
    <xf numFmtId="4" fontId="8" fillId="0" borderId="6" xfId="0" applyNumberFormat="1" applyFont="1" applyBorder="1" applyAlignment="1">
      <alignment horizontal="right"/>
    </xf>
    <xf numFmtId="4" fontId="8" fillId="0" borderId="8" xfId="0" applyNumberFormat="1" applyFont="1" applyBorder="1"/>
    <xf numFmtId="4" fontId="8" fillId="0" borderId="8" xfId="0" applyNumberFormat="1" applyFont="1" applyBorder="1" applyAlignment="1">
      <alignment horizontal="right"/>
    </xf>
    <xf numFmtId="2" fontId="8" fillId="0" borderId="8" xfId="0" applyNumberFormat="1" applyFont="1" applyBorder="1" applyAlignment="1">
      <alignment horizontal="right"/>
    </xf>
    <xf numFmtId="4" fontId="8" fillId="0" borderId="1" xfId="0" applyNumberFormat="1" applyFont="1" applyBorder="1"/>
    <xf numFmtId="4" fontId="8" fillId="0" borderId="13" xfId="0" applyNumberFormat="1" applyFont="1" applyBorder="1"/>
    <xf numFmtId="0" fontId="8" fillId="0" borderId="0" xfId="0" applyFont="1"/>
    <xf numFmtId="1" fontId="8" fillId="0" borderId="15" xfId="0" applyNumberFormat="1" applyFont="1" applyBorder="1" applyAlignment="1">
      <alignment horizontal="right"/>
    </xf>
    <xf numFmtId="164" fontId="8" fillId="0" borderId="11" xfId="0" applyNumberFormat="1" applyFont="1" applyBorder="1" applyAlignment="1">
      <alignment horizontal="left"/>
    </xf>
    <xf numFmtId="1" fontId="8" fillId="0" borderId="6" xfId="0" applyNumberFormat="1" applyFont="1" applyBorder="1" applyAlignment="1">
      <alignment horizontal="right"/>
    </xf>
    <xf numFmtId="4" fontId="8" fillId="0" borderId="11" xfId="0" applyNumberFormat="1" applyFont="1" applyBorder="1"/>
    <xf numFmtId="4" fontId="8" fillId="0" borderId="2" xfId="0" applyNumberFormat="1" applyFont="1" applyBorder="1"/>
    <xf numFmtId="0" fontId="8" fillId="0" borderId="3" xfId="0" applyFont="1" applyBorder="1" applyAlignment="1">
      <alignment horizontal="left"/>
    </xf>
    <xf numFmtId="2" fontId="8" fillId="0" borderId="6" xfId="0" applyNumberFormat="1" applyFont="1" applyBorder="1" applyAlignment="1">
      <alignment horizontal="right"/>
    </xf>
    <xf numFmtId="1" fontId="8" fillId="0" borderId="2" xfId="0" applyNumberFormat="1" applyFont="1" applyBorder="1" applyAlignment="1">
      <alignment horizontal="right"/>
    </xf>
    <xf numFmtId="1" fontId="0" fillId="0" borderId="13" xfId="0" applyNumberFormat="1" applyFont="1" applyBorder="1" applyAlignment="1">
      <alignment horizontal="right"/>
    </xf>
    <xf numFmtId="4" fontId="8" fillId="0" borderId="0" xfId="0" applyNumberFormat="1" applyFont="1" applyBorder="1" applyAlignment="1">
      <alignment horizontal="right"/>
    </xf>
    <xf numFmtId="4" fontId="8" fillId="0" borderId="15" xfId="0" applyNumberFormat="1" applyFont="1" applyBorder="1" applyAlignment="1">
      <alignment horizontal="right"/>
    </xf>
    <xf numFmtId="4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left"/>
    </xf>
    <xf numFmtId="1" fontId="8" fillId="0" borderId="2" xfId="0" applyNumberFormat="1" applyFont="1" applyBorder="1" applyAlignment="1">
      <alignment horizontal="left"/>
    </xf>
    <xf numFmtId="1" fontId="8" fillId="0" borderId="1" xfId="0" applyNumberFormat="1" applyFont="1" applyBorder="1" applyAlignment="1">
      <alignment horizontal="right"/>
    </xf>
    <xf numFmtId="1" fontId="0" fillId="0" borderId="10" xfId="0" applyNumberFormat="1" applyFont="1" applyBorder="1" applyAlignment="1">
      <alignment horizontal="right"/>
    </xf>
    <xf numFmtId="0" fontId="0" fillId="0" borderId="10" xfId="0" applyBorder="1" applyAlignment="1">
      <alignment horizontal="right"/>
    </xf>
    <xf numFmtId="1" fontId="8" fillId="0" borderId="8" xfId="0" applyNumberFormat="1" applyFont="1" applyBorder="1" applyAlignment="1">
      <alignment horizontal="left"/>
    </xf>
    <xf numFmtId="4" fontId="8" fillId="0" borderId="11" xfId="0" applyNumberFormat="1" applyFont="1" applyBorder="1" applyAlignment="1">
      <alignment horizontal="right"/>
    </xf>
    <xf numFmtId="1" fontId="8" fillId="0" borderId="4" xfId="0" applyNumberFormat="1" applyFont="1" applyBorder="1" applyAlignment="1">
      <alignment horizontal="left"/>
    </xf>
    <xf numFmtId="2" fontId="0" fillId="0" borderId="1" xfId="0" applyNumberFormat="1" applyFont="1" applyBorder="1" applyAlignment="1">
      <alignment horizontal="right"/>
    </xf>
    <xf numFmtId="164" fontId="8" fillId="0" borderId="0" xfId="0" applyNumberFormat="1" applyFont="1" applyBorder="1" applyAlignment="1">
      <alignment horizontal="left"/>
    </xf>
    <xf numFmtId="4" fontId="8" fillId="0" borderId="0" xfId="0" applyNumberFormat="1" applyFont="1" applyBorder="1"/>
    <xf numFmtId="0" fontId="8" fillId="0" borderId="0" xfId="0" applyFont="1" applyBorder="1"/>
    <xf numFmtId="1" fontId="8" fillId="0" borderId="11" xfId="0" applyNumberFormat="1" applyFont="1" applyBorder="1" applyAlignment="1">
      <alignment horizontal="right"/>
    </xf>
    <xf numFmtId="2" fontId="8" fillId="0" borderId="11" xfId="0" applyNumberFormat="1" applyFont="1" applyBorder="1" applyAlignment="1">
      <alignment horizontal="right"/>
    </xf>
    <xf numFmtId="0" fontId="8" fillId="0" borderId="9" xfId="0" applyFont="1" applyBorder="1" applyAlignment="1">
      <alignment horizontal="left"/>
    </xf>
    <xf numFmtId="0" fontId="8" fillId="0" borderId="11" xfId="0" applyFont="1" applyBorder="1"/>
    <xf numFmtId="0" fontId="8" fillId="0" borderId="8" xfId="0" applyFont="1" applyBorder="1" applyAlignment="1">
      <alignment horizontal="left"/>
    </xf>
    <xf numFmtId="1" fontId="0" fillId="3" borderId="0" xfId="0" applyNumberFormat="1" applyFont="1" applyFill="1" applyBorder="1" applyAlignment="1">
      <alignment horizontal="left"/>
    </xf>
    <xf numFmtId="4" fontId="0" fillId="3" borderId="0" xfId="0" applyNumberFormat="1" applyFont="1" applyFill="1" applyBorder="1" applyAlignment="1">
      <alignment horizontal="right"/>
    </xf>
    <xf numFmtId="1" fontId="0" fillId="0" borderId="0" xfId="0" applyNumberFormat="1" applyFont="1" applyFill="1" applyBorder="1" applyAlignment="1">
      <alignment horizontal="right"/>
    </xf>
    <xf numFmtId="164" fontId="0" fillId="0" borderId="0" xfId="0" applyNumberFormat="1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left"/>
    </xf>
    <xf numFmtId="4" fontId="0" fillId="0" borderId="0" xfId="0" applyNumberFormat="1" applyFont="1" applyFill="1" applyBorder="1" applyAlignment="1">
      <alignment horizontal="right"/>
    </xf>
    <xf numFmtId="0" fontId="0" fillId="0" borderId="0" xfId="0" applyFill="1" applyBorder="1"/>
    <xf numFmtId="4" fontId="0" fillId="0" borderId="0" xfId="0" applyNumberFormat="1" applyFont="1" applyFill="1" applyBorder="1"/>
    <xf numFmtId="0" fontId="0" fillId="0" borderId="4" xfId="0" applyBorder="1" applyAlignment="1">
      <alignment horizontal="left"/>
    </xf>
    <xf numFmtId="1" fontId="0" fillId="0" borderId="12" xfId="0" applyNumberFormat="1" applyFont="1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4" fontId="0" fillId="0" borderId="10" xfId="0" applyNumberFormat="1" applyFont="1" applyFill="1" applyBorder="1"/>
    <xf numFmtId="0" fontId="0" fillId="0" borderId="0" xfId="0" applyFill="1"/>
    <xf numFmtId="0" fontId="0" fillId="0" borderId="10" xfId="0" applyFont="1" applyFill="1" applyBorder="1" applyAlignment="1">
      <alignment horizontal="left"/>
    </xf>
    <xf numFmtId="4" fontId="0" fillId="0" borderId="10" xfId="0" applyNumberFormat="1" applyFont="1" applyFill="1" applyBorder="1" applyAlignment="1">
      <alignment horizontal="right"/>
    </xf>
    <xf numFmtId="1" fontId="0" fillId="0" borderId="10" xfId="0" applyNumberFormat="1" applyFont="1" applyFill="1" applyBorder="1" applyAlignment="1">
      <alignment horizontal="right"/>
    </xf>
    <xf numFmtId="4" fontId="0" fillId="0" borderId="12" xfId="0" applyNumberFormat="1" applyFont="1" applyFill="1" applyBorder="1"/>
    <xf numFmtId="2" fontId="8" fillId="0" borderId="11" xfId="0" applyNumberFormat="1" applyFont="1" applyBorder="1"/>
    <xf numFmtId="0" fontId="0" fillId="0" borderId="1" xfId="0" applyFont="1" applyFill="1" applyBorder="1" applyAlignment="1">
      <alignment horizontal="left"/>
    </xf>
    <xf numFmtId="1" fontId="9" fillId="0" borderId="0" xfId="0" applyNumberFormat="1" applyFont="1" applyFill="1" applyBorder="1" applyAlignment="1">
      <alignment horizontal="right"/>
    </xf>
    <xf numFmtId="164" fontId="9" fillId="0" borderId="0" xfId="0" applyNumberFormat="1" applyFont="1" applyFill="1" applyBorder="1" applyAlignment="1">
      <alignment horizontal="left"/>
    </xf>
    <xf numFmtId="4" fontId="9" fillId="0" borderId="0" xfId="0" applyNumberFormat="1" applyFont="1" applyFill="1" applyBorder="1"/>
    <xf numFmtId="0" fontId="9" fillId="0" borderId="0" xfId="0" applyFont="1" applyFill="1" applyBorder="1"/>
    <xf numFmtId="0" fontId="10" fillId="0" borderId="0" xfId="0" applyFont="1" applyFill="1" applyBorder="1"/>
    <xf numFmtId="0" fontId="8" fillId="0" borderId="0" xfId="0" applyFont="1" applyFill="1" applyBorder="1"/>
    <xf numFmtId="4" fontId="9" fillId="0" borderId="1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right"/>
    </xf>
    <xf numFmtId="1" fontId="0" fillId="3" borderId="10" xfId="0" applyNumberFormat="1" applyFont="1" applyFill="1" applyBorder="1" applyAlignment="1">
      <alignment horizontal="right"/>
    </xf>
    <xf numFmtId="0" fontId="0" fillId="3" borderId="10" xfId="0" applyFill="1" applyBorder="1" applyAlignment="1">
      <alignment horizontal="left"/>
    </xf>
    <xf numFmtId="4" fontId="0" fillId="3" borderId="10" xfId="0" applyNumberFormat="1" applyFont="1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1" fontId="0" fillId="0" borderId="4" xfId="0" applyNumberFormat="1" applyFont="1" applyFill="1" applyBorder="1" applyAlignment="1">
      <alignment horizontal="left"/>
    </xf>
    <xf numFmtId="4" fontId="0" fillId="0" borderId="13" xfId="0" applyNumberFormat="1" applyFont="1" applyFill="1" applyBorder="1"/>
    <xf numFmtId="0" fontId="0" fillId="0" borderId="10" xfId="0" applyFill="1" applyBorder="1" applyAlignment="1">
      <alignment horizontal="left"/>
    </xf>
    <xf numFmtId="1" fontId="8" fillId="0" borderId="12" xfId="0" applyNumberFormat="1" applyFont="1" applyFill="1" applyBorder="1" applyAlignment="1">
      <alignment horizontal="right"/>
    </xf>
    <xf numFmtId="164" fontId="8" fillId="0" borderId="0" xfId="0" applyNumberFormat="1" applyFont="1" applyFill="1" applyBorder="1" applyAlignment="1">
      <alignment horizontal="left"/>
    </xf>
    <xf numFmtId="0" fontId="8" fillId="0" borderId="3" xfId="0" applyFont="1" applyFill="1" applyBorder="1" applyAlignment="1">
      <alignment horizontal="left"/>
    </xf>
    <xf numFmtId="1" fontId="8" fillId="0" borderId="4" xfId="0" applyNumberFormat="1" applyFont="1" applyFill="1" applyBorder="1" applyAlignment="1">
      <alignment horizontal="left"/>
    </xf>
    <xf numFmtId="4" fontId="8" fillId="0" borderId="10" xfId="0" applyNumberFormat="1" applyFont="1" applyFill="1" applyBorder="1" applyAlignment="1">
      <alignment horizontal="right"/>
    </xf>
    <xf numFmtId="1" fontId="8" fillId="0" borderId="0" xfId="0" applyNumberFormat="1" applyFont="1" applyFill="1" applyBorder="1" applyAlignment="1">
      <alignment horizontal="right"/>
    </xf>
    <xf numFmtId="4" fontId="8" fillId="0" borderId="0" xfId="0" applyNumberFormat="1" applyFont="1" applyFill="1" applyBorder="1"/>
    <xf numFmtId="4" fontId="8" fillId="0" borderId="10" xfId="0" applyNumberFormat="1" applyFont="1" applyFill="1" applyBorder="1"/>
    <xf numFmtId="4" fontId="8" fillId="0" borderId="13" xfId="0" applyNumberFormat="1" applyFont="1" applyFill="1" applyBorder="1"/>
    <xf numFmtId="0" fontId="8" fillId="0" borderId="0" xfId="0" applyFont="1" applyFill="1"/>
    <xf numFmtId="0" fontId="8" fillId="0" borderId="6" xfId="0" applyFont="1" applyFill="1" applyBorder="1" applyAlignment="1">
      <alignment horizontal="left"/>
    </xf>
    <xf numFmtId="4" fontId="8" fillId="0" borderId="11" xfId="0" applyNumberFormat="1" applyFont="1" applyFill="1" applyBorder="1" applyAlignment="1">
      <alignment horizontal="right"/>
    </xf>
    <xf numFmtId="1" fontId="8" fillId="0" borderId="11" xfId="0" applyNumberFormat="1" applyFont="1" applyFill="1" applyBorder="1" applyAlignment="1">
      <alignment horizontal="right"/>
    </xf>
    <xf numFmtId="4" fontId="8" fillId="0" borderId="11" xfId="0" applyNumberFormat="1" applyFont="1" applyFill="1" applyBorder="1"/>
    <xf numFmtId="0" fontId="8" fillId="0" borderId="11" xfId="0" applyFont="1" applyFill="1" applyBorder="1"/>
    <xf numFmtId="4" fontId="8" fillId="0" borderId="2" xfId="0" applyNumberFormat="1" applyFont="1" applyFill="1" applyBorder="1"/>
    <xf numFmtId="1" fontId="8" fillId="0" borderId="7" xfId="0" applyNumberFormat="1" applyFont="1" applyFill="1" applyBorder="1" applyAlignment="1">
      <alignment horizontal="right"/>
    </xf>
    <xf numFmtId="4" fontId="8" fillId="0" borderId="1" xfId="0" applyNumberFormat="1" applyFont="1" applyFill="1" applyBorder="1"/>
    <xf numFmtId="2" fontId="0" fillId="0" borderId="0" xfId="0" applyNumberFormat="1" applyFont="1" applyFill="1" applyBorder="1" applyAlignment="1">
      <alignment horizontal="right"/>
    </xf>
    <xf numFmtId="1" fontId="8" fillId="0" borderId="15" xfId="0" applyNumberFormat="1" applyFont="1" applyFill="1" applyBorder="1" applyAlignment="1">
      <alignment horizontal="right"/>
    </xf>
    <xf numFmtId="164" fontId="8" fillId="0" borderId="11" xfId="0" applyNumberFormat="1" applyFont="1" applyFill="1" applyBorder="1" applyAlignment="1">
      <alignment horizontal="left"/>
    </xf>
    <xf numFmtId="1" fontId="8" fillId="0" borderId="11" xfId="0" applyNumberFormat="1" applyFont="1" applyFill="1" applyBorder="1" applyAlignment="1">
      <alignment horizontal="left"/>
    </xf>
    <xf numFmtId="2" fontId="8" fillId="0" borderId="11" xfId="0" applyNumberFormat="1" applyFont="1" applyFill="1" applyBorder="1" applyAlignment="1">
      <alignment horizontal="right"/>
    </xf>
    <xf numFmtId="1" fontId="8" fillId="0" borderId="8" xfId="0" applyNumberFormat="1" applyFont="1" applyFill="1" applyBorder="1" applyAlignment="1">
      <alignment horizontal="left"/>
    </xf>
    <xf numFmtId="4" fontId="8" fillId="0" borderId="1" xfId="0" applyNumberFormat="1" applyFont="1" applyFill="1" applyBorder="1" applyAlignment="1">
      <alignment horizontal="right"/>
    </xf>
    <xf numFmtId="4" fontId="0" fillId="0" borderId="3" xfId="0" applyNumberFormat="1" applyFont="1" applyFill="1" applyBorder="1"/>
    <xf numFmtId="0" fontId="8" fillId="3" borderId="6" xfId="0" applyFont="1" applyFill="1" applyBorder="1" applyAlignment="1">
      <alignment horizontal="left"/>
    </xf>
    <xf numFmtId="4" fontId="8" fillId="3" borderId="11" xfId="0" applyNumberFormat="1" applyFont="1" applyFill="1" applyBorder="1" applyAlignment="1">
      <alignment horizontal="right"/>
    </xf>
    <xf numFmtId="1" fontId="8" fillId="3" borderId="11" xfId="0" applyNumberFormat="1" applyFont="1" applyFill="1" applyBorder="1" applyAlignment="1">
      <alignment horizontal="right"/>
    </xf>
    <xf numFmtId="4" fontId="8" fillId="3" borderId="11" xfId="0" applyNumberFormat="1" applyFont="1" applyFill="1" applyBorder="1"/>
    <xf numFmtId="0" fontId="8" fillId="3" borderId="11" xfId="0" applyFont="1" applyFill="1" applyBorder="1"/>
    <xf numFmtId="4" fontId="8" fillId="3" borderId="2" xfId="0" applyNumberFormat="1" applyFont="1" applyFill="1" applyBorder="1"/>
    <xf numFmtId="0" fontId="8" fillId="3" borderId="0" xfId="0" applyFont="1" applyFill="1"/>
    <xf numFmtId="1" fontId="8" fillId="3" borderId="7" xfId="0" applyNumberFormat="1" applyFont="1" applyFill="1" applyBorder="1" applyAlignment="1">
      <alignment horizontal="right"/>
    </xf>
    <xf numFmtId="1" fontId="8" fillId="3" borderId="1" xfId="0" applyNumberFormat="1" applyFont="1" applyFill="1" applyBorder="1" applyAlignment="1">
      <alignment horizontal="right"/>
    </xf>
    <xf numFmtId="4" fontId="8" fillId="3" borderId="1" xfId="0" applyNumberFormat="1" applyFont="1" applyFill="1" applyBorder="1"/>
    <xf numFmtId="1" fontId="0" fillId="2" borderId="10" xfId="0" applyNumberFormat="1" applyFont="1" applyFill="1" applyBorder="1" applyAlignment="1">
      <alignment horizontal="right"/>
    </xf>
    <xf numFmtId="4" fontId="0" fillId="0" borderId="4" xfId="0" applyNumberFormat="1" applyBorder="1" applyAlignment="1">
      <alignment horizontal="right"/>
    </xf>
    <xf numFmtId="0" fontId="0" fillId="0" borderId="10" xfId="0" applyBorder="1" applyAlignment="1">
      <alignment horizontal="justify" vertical="top"/>
    </xf>
    <xf numFmtId="0" fontId="0" fillId="0" borderId="10" xfId="0" applyBorder="1" applyAlignment="1">
      <alignment horizontal="right" vertical="top"/>
    </xf>
    <xf numFmtId="0" fontId="8" fillId="3" borderId="0" xfId="0" applyFont="1" applyFill="1" applyBorder="1"/>
    <xf numFmtId="2" fontId="8" fillId="3" borderId="11" xfId="0" applyNumberFormat="1" applyFont="1" applyFill="1" applyBorder="1" applyAlignment="1">
      <alignment horizontal="right"/>
    </xf>
    <xf numFmtId="1" fontId="8" fillId="0" borderId="1" xfId="0" applyNumberFormat="1" applyFont="1" applyFill="1" applyBorder="1" applyAlignment="1">
      <alignment horizontal="right"/>
    </xf>
    <xf numFmtId="1" fontId="0" fillId="0" borderId="14" xfId="0" applyNumberFormat="1" applyFont="1" applyFill="1" applyBorder="1" applyAlignment="1">
      <alignment horizontal="right"/>
    </xf>
    <xf numFmtId="164" fontId="0" fillId="0" borderId="4" xfId="0" applyNumberFormat="1" applyFont="1" applyFill="1" applyBorder="1" applyAlignment="1">
      <alignment horizontal="left"/>
    </xf>
    <xf numFmtId="4" fontId="0" fillId="0" borderId="4" xfId="0" applyNumberFormat="1" applyFont="1" applyFill="1" applyBorder="1" applyAlignment="1">
      <alignment horizontal="right"/>
    </xf>
    <xf numFmtId="1" fontId="0" fillId="0" borderId="3" xfId="0" applyNumberFormat="1" applyFont="1" applyFill="1" applyBorder="1" applyAlignment="1">
      <alignment horizontal="right"/>
    </xf>
    <xf numFmtId="4" fontId="0" fillId="0" borderId="4" xfId="0" applyNumberFormat="1" applyFill="1" applyBorder="1"/>
    <xf numFmtId="0" fontId="0" fillId="0" borderId="4" xfId="0" applyFill="1" applyBorder="1"/>
    <xf numFmtId="4" fontId="0" fillId="0" borderId="4" xfId="0" applyNumberFormat="1" applyFont="1" applyFill="1" applyBorder="1"/>
    <xf numFmtId="4" fontId="0" fillId="0" borderId="5" xfId="0" applyNumberFormat="1" applyFont="1" applyFill="1" applyBorder="1"/>
    <xf numFmtId="164" fontId="8" fillId="0" borderId="8" xfId="0" applyNumberFormat="1" applyFont="1" applyFill="1" applyBorder="1" applyAlignment="1">
      <alignment horizontal="left"/>
    </xf>
    <xf numFmtId="1" fontId="0" fillId="0" borderId="4" xfId="0" applyNumberFormat="1" applyFont="1" applyFill="1" applyBorder="1" applyAlignment="1">
      <alignment horizontal="right"/>
    </xf>
    <xf numFmtId="2" fontId="0" fillId="0" borderId="4" xfId="0" applyNumberFormat="1" applyFont="1" applyFill="1" applyBorder="1" applyAlignment="1">
      <alignment horizontal="right"/>
    </xf>
    <xf numFmtId="4" fontId="8" fillId="3" borderId="1" xfId="0" applyNumberFormat="1" applyFont="1" applyFill="1" applyBorder="1" applyAlignment="1">
      <alignment horizontal="right"/>
    </xf>
    <xf numFmtId="1" fontId="0" fillId="3" borderId="3" xfId="0" applyNumberFormat="1" applyFont="1" applyFill="1" applyBorder="1" applyAlignment="1">
      <alignment horizontal="right"/>
    </xf>
    <xf numFmtId="0" fontId="0" fillId="0" borderId="10" xfId="0" applyFill="1" applyBorder="1" applyAlignment="1">
      <alignment horizontal="justify" vertical="top"/>
    </xf>
    <xf numFmtId="0" fontId="0" fillId="0" borderId="10" xfId="0" applyFill="1" applyBorder="1" applyAlignment="1">
      <alignment horizontal="right" vertical="top"/>
    </xf>
    <xf numFmtId="4" fontId="0" fillId="0" borderId="3" xfId="0" applyNumberFormat="1" applyFont="1" applyFill="1" applyBorder="1" applyAlignment="1">
      <alignment horizontal="right"/>
    </xf>
    <xf numFmtId="0" fontId="8" fillId="0" borderId="1" xfId="0" applyFont="1" applyFill="1" applyBorder="1" applyAlignment="1">
      <alignment horizontal="left"/>
    </xf>
    <xf numFmtId="0" fontId="0" fillId="3" borderId="10" xfId="0" applyFill="1" applyBorder="1" applyAlignment="1">
      <alignment horizontal="justify" vertical="top"/>
    </xf>
    <xf numFmtId="0" fontId="0" fillId="3" borderId="10" xfId="0" applyFill="1" applyBorder="1" applyAlignment="1">
      <alignment horizontal="right" vertical="top"/>
    </xf>
    <xf numFmtId="0" fontId="0" fillId="0" borderId="3" xfId="0" applyFill="1" applyBorder="1" applyAlignment="1">
      <alignment horizontal="left"/>
    </xf>
    <xf numFmtId="0" fontId="10" fillId="0" borderId="6" xfId="0" applyFont="1" applyFill="1" applyBorder="1" applyAlignment="1">
      <alignment horizontal="left"/>
    </xf>
    <xf numFmtId="4" fontId="10" fillId="0" borderId="11" xfId="0" applyNumberFormat="1" applyFont="1" applyFill="1" applyBorder="1" applyAlignment="1">
      <alignment horizontal="right"/>
    </xf>
    <xf numFmtId="1" fontId="10" fillId="0" borderId="11" xfId="0" applyNumberFormat="1" applyFont="1" applyFill="1" applyBorder="1" applyAlignment="1">
      <alignment horizontal="right"/>
    </xf>
    <xf numFmtId="4" fontId="10" fillId="0" borderId="11" xfId="0" applyNumberFormat="1" applyFont="1" applyFill="1" applyBorder="1"/>
    <xf numFmtId="0" fontId="10" fillId="0" borderId="11" xfId="0" applyFont="1" applyFill="1" applyBorder="1"/>
    <xf numFmtId="4" fontId="10" fillId="0" borderId="2" xfId="0" applyNumberFormat="1" applyFont="1" applyFill="1" applyBorder="1"/>
    <xf numFmtId="1" fontId="9" fillId="0" borderId="12" xfId="0" applyNumberFormat="1" applyFont="1" applyFill="1" applyBorder="1" applyAlignment="1">
      <alignment horizontal="right"/>
    </xf>
    <xf numFmtId="1" fontId="10" fillId="0" borderId="7" xfId="0" applyNumberFormat="1" applyFont="1" applyFill="1" applyBorder="1" applyAlignment="1">
      <alignment horizontal="right"/>
    </xf>
    <xf numFmtId="0" fontId="9" fillId="0" borderId="10" xfId="0" applyFont="1" applyFill="1" applyBorder="1" applyAlignment="1">
      <alignment horizontal="left"/>
    </xf>
    <xf numFmtId="4" fontId="10" fillId="0" borderId="1" xfId="0" applyNumberFormat="1" applyFont="1" applyFill="1" applyBorder="1" applyAlignment="1">
      <alignment horizontal="right"/>
    </xf>
    <xf numFmtId="4" fontId="3" fillId="0" borderId="3" xfId="0" applyNumberFormat="1" applyFont="1" applyBorder="1" applyAlignment="1">
      <alignment horizontal="right"/>
    </xf>
    <xf numFmtId="4" fontId="10" fillId="0" borderId="1" xfId="0" applyNumberFormat="1" applyFont="1" applyFill="1" applyBorder="1"/>
    <xf numFmtId="4" fontId="9" fillId="0" borderId="10" xfId="0" applyNumberFormat="1" applyFont="1" applyFill="1" applyBorder="1"/>
    <xf numFmtId="0" fontId="0" fillId="3" borderId="3" xfId="0" applyFill="1" applyBorder="1" applyAlignment="1">
      <alignment horizontal="justify" vertical="top"/>
    </xf>
    <xf numFmtId="0" fontId="0" fillId="0" borderId="3" xfId="0" applyFill="1" applyBorder="1" applyAlignment="1">
      <alignment horizontal="right" vertical="top"/>
    </xf>
    <xf numFmtId="0" fontId="0" fillId="0" borderId="0" xfId="0" applyFont="1" applyFill="1" applyBorder="1" applyAlignment="1">
      <alignment horizontal="justify" vertical="top"/>
    </xf>
    <xf numFmtId="0" fontId="10" fillId="0" borderId="0" xfId="0" applyFont="1" applyFill="1"/>
    <xf numFmtId="1" fontId="10" fillId="0" borderId="1" xfId="0" applyNumberFormat="1" applyFont="1" applyFill="1" applyBorder="1" applyAlignment="1">
      <alignment horizontal="right"/>
    </xf>
    <xf numFmtId="0" fontId="0" fillId="0" borderId="4" xfId="0" applyFont="1" applyFill="1" applyBorder="1" applyAlignment="1">
      <alignment horizontal="justify" vertical="top"/>
    </xf>
    <xf numFmtId="0" fontId="8" fillId="0" borderId="8" xfId="0" applyFont="1" applyFill="1" applyBorder="1" applyAlignment="1">
      <alignment horizontal="justify" vertical="top"/>
    </xf>
    <xf numFmtId="4" fontId="8" fillId="0" borderId="1" xfId="0" applyNumberFormat="1" applyFont="1" applyFill="1" applyBorder="1" applyAlignment="1">
      <alignment horizontal="right" vertical="top"/>
    </xf>
    <xf numFmtId="4" fontId="0" fillId="0" borderId="10" xfId="0" applyNumberFormat="1" applyFont="1" applyFill="1" applyBorder="1" applyAlignment="1">
      <alignment horizontal="right" vertical="top"/>
    </xf>
    <xf numFmtId="4" fontId="0" fillId="0" borderId="3" xfId="0" applyNumberFormat="1" applyFont="1" applyFill="1" applyBorder="1" applyAlignment="1">
      <alignment horizontal="right" vertical="top"/>
    </xf>
    <xf numFmtId="0" fontId="11" fillId="0" borderId="0" xfId="0" applyFont="1"/>
    <xf numFmtId="0" fontId="12" fillId="0" borderId="0" xfId="0" applyFont="1" applyFill="1" applyBorder="1" applyAlignment="1">
      <alignment horizontal="left"/>
    </xf>
    <xf numFmtId="0" fontId="0" fillId="0" borderId="0" xfId="0" applyFont="1" applyFill="1"/>
    <xf numFmtId="0" fontId="12" fillId="0" borderId="12" xfId="0" applyFont="1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4" fontId="10" fillId="0" borderId="15" xfId="0" applyNumberFormat="1" applyFont="1" applyBorder="1" applyAlignment="1">
      <alignment horizontal="center" vertical="center"/>
    </xf>
    <xf numFmtId="4" fontId="10" fillId="0" borderId="0" xfId="0" applyNumberFormat="1" applyFont="1" applyBorder="1" applyAlignment="1">
      <alignment horizontal="center" vertical="center"/>
    </xf>
    <xf numFmtId="0" fontId="12" fillId="0" borderId="10" xfId="0" applyFont="1" applyFill="1" applyBorder="1" applyAlignment="1">
      <alignment horizontal="left"/>
    </xf>
    <xf numFmtId="4" fontId="11" fillId="0" borderId="10" xfId="0" applyNumberFormat="1" applyFont="1" applyBorder="1"/>
    <xf numFmtId="4" fontId="0" fillId="0" borderId="3" xfId="0" applyNumberFormat="1" applyBorder="1" applyAlignment="1">
      <alignment horizontal="right"/>
    </xf>
    <xf numFmtId="0" fontId="0" fillId="0" borderId="10" xfId="0" applyFont="1" applyFill="1" applyBorder="1"/>
    <xf numFmtId="0" fontId="14" fillId="0" borderId="0" xfId="0" applyFont="1"/>
    <xf numFmtId="0" fontId="0" fillId="0" borderId="0" xfId="0" applyBorder="1" applyAlignment="1">
      <alignment horizontal="center"/>
    </xf>
    <xf numFmtId="0" fontId="17" fillId="0" borderId="0" xfId="0" applyFont="1" applyAlignment="1">
      <alignment vertical="center"/>
    </xf>
    <xf numFmtId="164" fontId="10" fillId="0" borderId="8" xfId="0" applyNumberFormat="1" applyFont="1" applyFill="1" applyBorder="1" applyAlignment="1">
      <alignment horizontal="left"/>
    </xf>
    <xf numFmtId="164" fontId="8" fillId="3" borderId="0" xfId="0" applyNumberFormat="1" applyFont="1" applyFill="1" applyBorder="1" applyAlignment="1">
      <alignment horizontal="left"/>
    </xf>
    <xf numFmtId="4" fontId="8" fillId="3" borderId="0" xfId="0" applyNumberFormat="1" applyFont="1" applyFill="1" applyBorder="1"/>
    <xf numFmtId="0" fontId="10" fillId="0" borderId="6" xfId="0" applyFont="1" applyBorder="1" applyAlignment="1">
      <alignment horizontal="left"/>
    </xf>
    <xf numFmtId="1" fontId="10" fillId="0" borderId="8" xfId="0" applyNumberFormat="1" applyFont="1" applyBorder="1" applyAlignment="1">
      <alignment horizontal="left"/>
    </xf>
    <xf numFmtId="4" fontId="10" fillId="0" borderId="1" xfId="0" applyNumberFormat="1" applyFont="1" applyBorder="1" applyAlignment="1">
      <alignment horizontal="right"/>
    </xf>
    <xf numFmtId="1" fontId="10" fillId="0" borderId="1" xfId="0" applyNumberFormat="1" applyFont="1" applyBorder="1" applyAlignment="1">
      <alignment horizontal="right"/>
    </xf>
    <xf numFmtId="4" fontId="10" fillId="0" borderId="11" xfId="0" applyNumberFormat="1" applyFont="1" applyBorder="1"/>
    <xf numFmtId="0" fontId="10" fillId="0" borderId="11" xfId="0" applyFont="1" applyBorder="1"/>
    <xf numFmtId="4" fontId="10" fillId="0" borderId="11" xfId="0" applyNumberFormat="1" applyFont="1" applyBorder="1" applyAlignment="1">
      <alignment horizontal="right"/>
    </xf>
    <xf numFmtId="2" fontId="10" fillId="0" borderId="11" xfId="0" applyNumberFormat="1" applyFont="1" applyBorder="1" applyAlignment="1">
      <alignment horizontal="right"/>
    </xf>
    <xf numFmtId="4" fontId="10" fillId="0" borderId="1" xfId="0" applyNumberFormat="1" applyFont="1" applyBorder="1"/>
    <xf numFmtId="0" fontId="10" fillId="0" borderId="0" xfId="0" applyFont="1"/>
    <xf numFmtId="1" fontId="9" fillId="3" borderId="12" xfId="0" applyNumberFormat="1" applyFont="1" applyFill="1" applyBorder="1" applyAlignment="1">
      <alignment horizontal="right"/>
    </xf>
    <xf numFmtId="0" fontId="9" fillId="3" borderId="10" xfId="0" applyFont="1" applyFill="1" applyBorder="1" applyAlignment="1">
      <alignment horizontal="left"/>
    </xf>
    <xf numFmtId="164" fontId="9" fillId="3" borderId="0" xfId="0" applyNumberFormat="1" applyFont="1" applyFill="1" applyBorder="1" applyAlignment="1">
      <alignment horizontal="left"/>
    </xf>
    <xf numFmtId="1" fontId="9" fillId="3" borderId="0" xfId="0" applyNumberFormat="1" applyFont="1" applyFill="1" applyBorder="1" applyAlignment="1">
      <alignment horizontal="left"/>
    </xf>
    <xf numFmtId="4" fontId="9" fillId="3" borderId="10" xfId="0" applyNumberFormat="1" applyFont="1" applyFill="1" applyBorder="1" applyAlignment="1">
      <alignment horizontal="right"/>
    </xf>
    <xf numFmtId="1" fontId="9" fillId="3" borderId="10" xfId="0" applyNumberFormat="1" applyFont="1" applyFill="1" applyBorder="1" applyAlignment="1">
      <alignment horizontal="right"/>
    </xf>
    <xf numFmtId="4" fontId="9" fillId="3" borderId="0" xfId="0" applyNumberFormat="1" applyFont="1" applyFill="1" applyBorder="1"/>
    <xf numFmtId="0" fontId="9" fillId="3" borderId="0" xfId="0" applyFont="1" applyFill="1" applyBorder="1"/>
    <xf numFmtId="4" fontId="9" fillId="3" borderId="0" xfId="0" applyNumberFormat="1" applyFont="1" applyFill="1" applyBorder="1" applyAlignment="1">
      <alignment horizontal="right"/>
    </xf>
    <xf numFmtId="2" fontId="9" fillId="3" borderId="0" xfId="0" applyNumberFormat="1" applyFont="1" applyFill="1" applyBorder="1" applyAlignment="1">
      <alignment horizontal="right"/>
    </xf>
    <xf numFmtId="4" fontId="9" fillId="3" borderId="10" xfId="0" applyNumberFormat="1" applyFont="1" applyFill="1" applyBorder="1"/>
    <xf numFmtId="0" fontId="9" fillId="3" borderId="0" xfId="0" applyFont="1" applyFill="1"/>
    <xf numFmtId="0" fontId="8" fillId="0" borderId="10" xfId="0" applyFont="1" applyFill="1" applyBorder="1" applyAlignment="1">
      <alignment horizontal="left"/>
    </xf>
    <xf numFmtId="4" fontId="8" fillId="0" borderId="0" xfId="0" applyNumberFormat="1" applyFont="1" applyFill="1" applyBorder="1" applyAlignment="1">
      <alignment horizontal="right"/>
    </xf>
    <xf numFmtId="4" fontId="8" fillId="0" borderId="0" xfId="0" applyNumberFormat="1" applyFont="1"/>
    <xf numFmtId="4" fontId="14" fillId="0" borderId="0" xfId="0" applyNumberFormat="1" applyFont="1"/>
    <xf numFmtId="2" fontId="0" fillId="0" borderId="0" xfId="0" applyNumberFormat="1" applyAlignment="1">
      <alignment horizontal="left"/>
    </xf>
    <xf numFmtId="4" fontId="0" fillId="0" borderId="14" xfId="0" applyNumberFormat="1" applyFont="1" applyBorder="1"/>
    <xf numFmtId="4" fontId="0" fillId="0" borderId="14" xfId="0" applyNumberFormat="1" applyFont="1" applyFill="1" applyBorder="1"/>
    <xf numFmtId="4" fontId="8" fillId="0" borderId="15" xfId="0" applyNumberFormat="1" applyFont="1" applyFill="1" applyBorder="1"/>
    <xf numFmtId="4" fontId="8" fillId="0" borderId="15" xfId="0" applyNumberFormat="1" applyFont="1" applyBorder="1"/>
    <xf numFmtId="1" fontId="10" fillId="0" borderId="7" xfId="0" applyNumberFormat="1" applyFont="1" applyBorder="1" applyAlignment="1">
      <alignment horizontal="right"/>
    </xf>
    <xf numFmtId="164" fontId="10" fillId="0" borderId="8" xfId="0" applyNumberFormat="1" applyFont="1" applyBorder="1" applyAlignment="1">
      <alignment horizontal="left"/>
    </xf>
    <xf numFmtId="4" fontId="10" fillId="0" borderId="11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justify" vertical="top"/>
    </xf>
    <xf numFmtId="4" fontId="10" fillId="0" borderId="1" xfId="0" applyNumberFormat="1" applyFont="1" applyBorder="1" applyAlignment="1">
      <alignment horizontal="center" vertical="center"/>
    </xf>
    <xf numFmtId="4" fontId="10" fillId="0" borderId="3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" fontId="9" fillId="0" borderId="0" xfId="0" applyNumberFormat="1" applyFont="1"/>
    <xf numFmtId="0" fontId="18" fillId="0" borderId="0" xfId="0" applyFont="1"/>
    <xf numFmtId="0" fontId="19" fillId="0" borderId="0" xfId="0" applyFont="1" applyAlignment="1">
      <alignment vertical="center"/>
    </xf>
    <xf numFmtId="4" fontId="18" fillId="0" borderId="0" xfId="0" applyNumberFormat="1" applyFont="1"/>
    <xf numFmtId="4" fontId="10" fillId="0" borderId="6" xfId="0" applyNumberFormat="1" applyFont="1" applyBorder="1"/>
    <xf numFmtId="4" fontId="9" fillId="0" borderId="6" xfId="0" applyNumberFormat="1" applyFont="1" applyBorder="1"/>
    <xf numFmtId="4" fontId="10" fillId="0" borderId="2" xfId="0" applyNumberFormat="1" applyFont="1" applyBorder="1"/>
    <xf numFmtId="4" fontId="9" fillId="0" borderId="4" xfId="0" applyNumberFormat="1" applyFont="1" applyFill="1" applyBorder="1"/>
    <xf numFmtId="4" fontId="8" fillId="0" borderId="10" xfId="0" applyNumberFormat="1" applyFont="1" applyBorder="1"/>
    <xf numFmtId="1" fontId="8" fillId="0" borderId="6" xfId="0" applyNumberFormat="1" applyFont="1" applyFill="1" applyBorder="1" applyAlignment="1">
      <alignment horizontal="right"/>
    </xf>
    <xf numFmtId="1" fontId="0" fillId="0" borderId="1" xfId="0" applyNumberFormat="1" applyFont="1" applyBorder="1" applyAlignment="1">
      <alignment horizontal="right"/>
    </xf>
    <xf numFmtId="4" fontId="0" fillId="0" borderId="12" xfId="0" applyNumberFormat="1" applyFont="1" applyFill="1" applyBorder="1" applyAlignment="1">
      <alignment horizontal="right"/>
    </xf>
    <xf numFmtId="4" fontId="10" fillId="0" borderId="9" xfId="0" applyNumberFormat="1" applyFont="1" applyBorder="1"/>
    <xf numFmtId="164" fontId="8" fillId="3" borderId="8" xfId="0" applyNumberFormat="1" applyFont="1" applyFill="1" applyBorder="1" applyAlignment="1">
      <alignment horizontal="left"/>
    </xf>
    <xf numFmtId="1" fontId="0" fillId="0" borderId="2" xfId="0" applyNumberFormat="1" applyFont="1" applyBorder="1" applyAlignment="1">
      <alignment horizontal="left"/>
    </xf>
    <xf numFmtId="1" fontId="8" fillId="0" borderId="9" xfId="0" applyNumberFormat="1" applyFont="1" applyBorder="1" applyAlignment="1">
      <alignment horizontal="left"/>
    </xf>
    <xf numFmtId="1" fontId="10" fillId="0" borderId="9" xfId="0" applyNumberFormat="1" applyFont="1" applyFill="1" applyBorder="1" applyAlignment="1">
      <alignment horizontal="left"/>
    </xf>
    <xf numFmtId="1" fontId="8" fillId="3" borderId="9" xfId="0" applyNumberFormat="1" applyFont="1" applyFill="1" applyBorder="1" applyAlignment="1">
      <alignment horizontal="left"/>
    </xf>
    <xf numFmtId="1" fontId="0" fillId="0" borderId="13" xfId="0" applyNumberFormat="1" applyFont="1" applyFill="1" applyBorder="1" applyAlignment="1">
      <alignment horizontal="left"/>
    </xf>
    <xf numFmtId="1" fontId="10" fillId="0" borderId="9" xfId="0" applyNumberFormat="1" applyFont="1" applyBorder="1" applyAlignment="1">
      <alignment horizontal="left"/>
    </xf>
    <xf numFmtId="1" fontId="0" fillId="0" borderId="2" xfId="0" applyNumberFormat="1" applyFont="1" applyFill="1" applyBorder="1" applyAlignment="1">
      <alignment horizontal="left"/>
    </xf>
    <xf numFmtId="0" fontId="8" fillId="3" borderId="9" xfId="0" applyFont="1" applyFill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3" xfId="0" applyFill="1" applyBorder="1"/>
    <xf numFmtId="1" fontId="0" fillId="3" borderId="13" xfId="0" applyNumberFormat="1" applyFont="1" applyFill="1" applyBorder="1" applyAlignment="1">
      <alignment horizontal="left"/>
    </xf>
    <xf numFmtId="1" fontId="0" fillId="3" borderId="5" xfId="0" applyNumberFormat="1" applyFont="1" applyFill="1" applyBorder="1" applyAlignment="1">
      <alignment horizontal="left"/>
    </xf>
    <xf numFmtId="0" fontId="8" fillId="0" borderId="9" xfId="0" applyFont="1" applyFill="1" applyBorder="1" applyAlignment="1">
      <alignment horizontal="left"/>
    </xf>
    <xf numFmtId="0" fontId="0" fillId="3" borderId="5" xfId="0" applyFont="1" applyFill="1" applyBorder="1" applyAlignment="1">
      <alignment horizontal="left"/>
    </xf>
    <xf numFmtId="0" fontId="0" fillId="3" borderId="13" xfId="0" applyFont="1" applyFill="1" applyBorder="1" applyAlignment="1">
      <alignment horizontal="left"/>
    </xf>
    <xf numFmtId="1" fontId="0" fillId="2" borderId="13" xfId="0" applyNumberFormat="1" applyFont="1" applyFill="1" applyBorder="1" applyAlignment="1">
      <alignment horizontal="left"/>
    </xf>
    <xf numFmtId="1" fontId="8" fillId="0" borderId="9" xfId="0" applyNumberFormat="1" applyFont="1" applyFill="1" applyBorder="1" applyAlignment="1">
      <alignment horizontal="left"/>
    </xf>
    <xf numFmtId="1" fontId="0" fillId="0" borderId="5" xfId="0" applyNumberFormat="1" applyFont="1" applyFill="1" applyBorder="1" applyAlignment="1">
      <alignment horizontal="left"/>
    </xf>
    <xf numFmtId="1" fontId="8" fillId="3" borderId="8" xfId="0" applyNumberFormat="1" applyFont="1" applyFill="1" applyBorder="1" applyAlignment="1">
      <alignment horizontal="left"/>
    </xf>
    <xf numFmtId="1" fontId="3" fillId="0" borderId="5" xfId="0" applyNumberFormat="1" applyFont="1" applyBorder="1" applyAlignment="1">
      <alignment horizontal="left"/>
    </xf>
    <xf numFmtId="0" fontId="0" fillId="0" borderId="13" xfId="0" applyFont="1" applyFill="1" applyBorder="1" applyAlignment="1">
      <alignment horizontal="left"/>
    </xf>
    <xf numFmtId="0" fontId="0" fillId="0" borderId="2" xfId="0" applyFont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0" fillId="0" borderId="13" xfId="0" applyFill="1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10" xfId="0" applyFill="1" applyBorder="1" applyAlignment="1">
      <alignment horizontal="right"/>
    </xf>
    <xf numFmtId="0" fontId="0" fillId="0" borderId="10" xfId="0" applyBorder="1" applyAlignment="1">
      <alignment horizontal="justify"/>
    </xf>
    <xf numFmtId="0" fontId="0" fillId="3" borderId="10" xfId="0" applyFill="1" applyBorder="1" applyAlignment="1">
      <alignment horizontal="right"/>
    </xf>
    <xf numFmtId="0" fontId="0" fillId="3" borderId="3" xfId="0" applyFont="1" applyFill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0" fillId="2" borderId="10" xfId="0" applyFill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0" fillId="0" borderId="3" xfId="0" applyFill="1" applyBorder="1" applyAlignment="1">
      <alignment horizontal="justify" vertical="top"/>
    </xf>
    <xf numFmtId="0" fontId="3" fillId="0" borderId="3" xfId="0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11" fillId="0" borderId="10" xfId="0" applyFont="1" applyBorder="1" applyAlignment="1">
      <alignment horizontal="right"/>
    </xf>
    <xf numFmtId="164" fontId="0" fillId="0" borderId="11" xfId="0" applyNumberFormat="1" applyFont="1" applyBorder="1" applyAlignment="1">
      <alignment horizontal="left"/>
    </xf>
    <xf numFmtId="1" fontId="10" fillId="0" borderId="8" xfId="0" applyNumberFormat="1" applyFont="1" applyFill="1" applyBorder="1" applyAlignment="1">
      <alignment horizontal="left"/>
    </xf>
    <xf numFmtId="4" fontId="10" fillId="0" borderId="6" xfId="0" applyNumberFormat="1" applyFont="1" applyFill="1" applyBorder="1"/>
    <xf numFmtId="4" fontId="10" fillId="0" borderId="13" xfId="0" applyNumberFormat="1" applyFont="1" applyFill="1" applyBorder="1"/>
    <xf numFmtId="4" fontId="9" fillId="0" borderId="0" xfId="0" applyNumberFormat="1" applyFont="1" applyFill="1"/>
    <xf numFmtId="4" fontId="10" fillId="0" borderId="0" xfId="0" applyNumberFormat="1" applyFont="1" applyFill="1"/>
    <xf numFmtId="1" fontId="9" fillId="0" borderId="0" xfId="0" applyNumberFormat="1" applyFont="1" applyFill="1" applyBorder="1" applyAlignment="1">
      <alignment horizontal="left"/>
    </xf>
    <xf numFmtId="1" fontId="9" fillId="0" borderId="14" xfId="0" applyNumberFormat="1" applyFont="1" applyFill="1" applyBorder="1" applyAlignment="1">
      <alignment horizontal="right"/>
    </xf>
    <xf numFmtId="0" fontId="9" fillId="0" borderId="3" xfId="0" applyFont="1" applyFill="1" applyBorder="1" applyAlignment="1">
      <alignment horizontal="left"/>
    </xf>
    <xf numFmtId="164" fontId="9" fillId="0" borderId="4" xfId="0" applyNumberFormat="1" applyFont="1" applyFill="1" applyBorder="1" applyAlignment="1">
      <alignment horizontal="left"/>
    </xf>
    <xf numFmtId="1" fontId="9" fillId="0" borderId="4" xfId="0" applyNumberFormat="1" applyFont="1" applyFill="1" applyBorder="1" applyAlignment="1">
      <alignment horizontal="left"/>
    </xf>
    <xf numFmtId="4" fontId="9" fillId="0" borderId="3" xfId="0" applyNumberFormat="1" applyFont="1" applyFill="1" applyBorder="1" applyAlignment="1">
      <alignment horizontal="right"/>
    </xf>
    <xf numFmtId="1" fontId="9" fillId="0" borderId="4" xfId="0" applyNumberFormat="1" applyFont="1" applyFill="1" applyBorder="1" applyAlignment="1">
      <alignment horizontal="right"/>
    </xf>
    <xf numFmtId="0" fontId="9" fillId="0" borderId="4" xfId="0" applyFont="1" applyFill="1" applyBorder="1"/>
    <xf numFmtId="4" fontId="9" fillId="0" borderId="3" xfId="0" applyNumberFormat="1" applyFont="1" applyFill="1" applyBorder="1"/>
    <xf numFmtId="4" fontId="13" fillId="0" borderId="0" xfId="0" applyNumberFormat="1" applyFont="1" applyAlignment="1"/>
    <xf numFmtId="0" fontId="2" fillId="0" borderId="0" xfId="0" applyNumberFormat="1" applyFont="1" applyAlignment="1"/>
    <xf numFmtId="0" fontId="15" fillId="0" borderId="0" xfId="0" applyFont="1" applyAlignment="1">
      <alignment vertical="center"/>
    </xf>
    <xf numFmtId="4" fontId="8" fillId="0" borderId="0" xfId="0" applyNumberFormat="1" applyFont="1" applyFill="1"/>
    <xf numFmtId="4" fontId="0" fillId="0" borderId="0" xfId="0" applyNumberFormat="1" applyFill="1"/>
    <xf numFmtId="0" fontId="20" fillId="0" borderId="0" xfId="0" applyFont="1" applyAlignment="1">
      <alignment horizontal="left"/>
    </xf>
    <xf numFmtId="4" fontId="20" fillId="0" borderId="0" xfId="0" applyNumberFormat="1" applyFont="1" applyAlignment="1">
      <alignment horizontal="right"/>
    </xf>
    <xf numFmtId="0" fontId="20" fillId="0" borderId="0" xfId="0" applyFont="1"/>
    <xf numFmtId="4" fontId="20" fillId="0" borderId="0" xfId="0" applyNumberFormat="1" applyFont="1"/>
    <xf numFmtId="49" fontId="8" fillId="3" borderId="9" xfId="0" applyNumberFormat="1" applyFont="1" applyFill="1" applyBorder="1" applyAlignment="1">
      <alignment horizontal="left"/>
    </xf>
    <xf numFmtId="1" fontId="3" fillId="0" borderId="12" xfId="0" applyNumberFormat="1" applyFont="1" applyBorder="1" applyAlignment="1">
      <alignment horizontal="right"/>
    </xf>
    <xf numFmtId="0" fontId="3" fillId="0" borderId="10" xfId="0" applyFont="1" applyBorder="1" applyAlignment="1">
      <alignment horizontal="left"/>
    </xf>
    <xf numFmtId="164" fontId="3" fillId="0" borderId="0" xfId="0" applyNumberFormat="1" applyFont="1" applyBorder="1" applyAlignment="1">
      <alignment horizontal="left"/>
    </xf>
    <xf numFmtId="4" fontId="3" fillId="0" borderId="10" xfId="0" applyNumberFormat="1" applyFont="1" applyBorder="1" applyAlignment="1">
      <alignment horizontal="right"/>
    </xf>
    <xf numFmtId="4" fontId="3" fillId="0" borderId="0" xfId="0" applyNumberFormat="1" applyFont="1" applyBorder="1"/>
    <xf numFmtId="0" fontId="3" fillId="0" borderId="0" xfId="0" applyFont="1" applyBorder="1"/>
    <xf numFmtId="4" fontId="3" fillId="0" borderId="10" xfId="0" applyNumberFormat="1" applyFont="1" applyBorder="1"/>
    <xf numFmtId="4" fontId="22" fillId="0" borderId="6" xfId="0" applyNumberFormat="1" applyFont="1" applyBorder="1"/>
    <xf numFmtId="4" fontId="22" fillId="0" borderId="2" xfId="0" applyNumberFormat="1" applyFont="1" applyBorder="1"/>
    <xf numFmtId="4" fontId="3" fillId="0" borderId="3" xfId="0" applyNumberFormat="1" applyFont="1" applyBorder="1"/>
    <xf numFmtId="4" fontId="22" fillId="0" borderId="1" xfId="0" applyNumberFormat="1" applyFont="1" applyBorder="1"/>
    <xf numFmtId="4" fontId="22" fillId="0" borderId="13" xfId="0" applyNumberFormat="1" applyFont="1" applyBorder="1"/>
    <xf numFmtId="4" fontId="3" fillId="0" borderId="0" xfId="0" applyNumberFormat="1" applyFont="1"/>
    <xf numFmtId="4" fontId="22" fillId="0" borderId="0" xfId="0" applyNumberFormat="1" applyFont="1"/>
    <xf numFmtId="1" fontId="22" fillId="0" borderId="7" xfId="0" applyNumberFormat="1" applyFont="1" applyBorder="1" applyAlignment="1">
      <alignment horizontal="right"/>
    </xf>
    <xf numFmtId="0" fontId="22" fillId="0" borderId="6" xfId="0" applyFont="1" applyBorder="1" applyAlignment="1">
      <alignment horizontal="left"/>
    </xf>
    <xf numFmtId="164" fontId="22" fillId="0" borderId="8" xfId="0" applyNumberFormat="1" applyFont="1" applyBorder="1" applyAlignment="1">
      <alignment horizontal="left"/>
    </xf>
    <xf numFmtId="1" fontId="22" fillId="0" borderId="8" xfId="0" applyNumberFormat="1" applyFont="1" applyBorder="1" applyAlignment="1">
      <alignment horizontal="left"/>
    </xf>
    <xf numFmtId="4" fontId="22" fillId="0" borderId="1" xfId="0" applyNumberFormat="1" applyFont="1" applyBorder="1" applyAlignment="1">
      <alignment horizontal="right"/>
    </xf>
    <xf numFmtId="1" fontId="22" fillId="0" borderId="11" xfId="0" applyNumberFormat="1" applyFont="1" applyBorder="1" applyAlignment="1">
      <alignment horizontal="right"/>
    </xf>
    <xf numFmtId="4" fontId="22" fillId="0" borderId="11" xfId="0" applyNumberFormat="1" applyFont="1" applyBorder="1"/>
    <xf numFmtId="0" fontId="22" fillId="0" borderId="11" xfId="0" applyFont="1" applyBorder="1"/>
    <xf numFmtId="4" fontId="22" fillId="0" borderId="11" xfId="0" applyNumberFormat="1" applyFont="1" applyBorder="1" applyAlignment="1">
      <alignment horizontal="right"/>
    </xf>
    <xf numFmtId="2" fontId="22" fillId="0" borderId="11" xfId="0" applyNumberFormat="1" applyFont="1" applyBorder="1" applyAlignment="1">
      <alignment horizontal="right"/>
    </xf>
    <xf numFmtId="0" fontId="22" fillId="0" borderId="0" xfId="0" applyFont="1" applyBorder="1"/>
    <xf numFmtId="1" fontId="22" fillId="0" borderId="7" xfId="0" applyNumberFormat="1" applyFont="1" applyFill="1" applyBorder="1" applyAlignment="1">
      <alignment horizontal="right"/>
    </xf>
    <xf numFmtId="0" fontId="22" fillId="3" borderId="6" xfId="0" applyFont="1" applyFill="1" applyBorder="1" applyAlignment="1">
      <alignment horizontal="left"/>
    </xf>
    <xf numFmtId="164" fontId="22" fillId="3" borderId="8" xfId="0" applyNumberFormat="1" applyFont="1" applyFill="1" applyBorder="1" applyAlignment="1">
      <alignment horizontal="left"/>
    </xf>
    <xf numFmtId="1" fontId="22" fillId="3" borderId="9" xfId="0" applyNumberFormat="1" applyFont="1" applyFill="1" applyBorder="1" applyAlignment="1">
      <alignment horizontal="left"/>
    </xf>
    <xf numFmtId="4" fontId="22" fillId="3" borderId="11" xfId="0" applyNumberFormat="1" applyFont="1" applyFill="1" applyBorder="1" applyAlignment="1">
      <alignment horizontal="right"/>
    </xf>
    <xf numFmtId="1" fontId="22" fillId="3" borderId="1" xfId="0" applyNumberFormat="1" applyFont="1" applyFill="1" applyBorder="1" applyAlignment="1">
      <alignment horizontal="right"/>
    </xf>
    <xf numFmtId="4" fontId="22" fillId="3" borderId="11" xfId="0" applyNumberFormat="1" applyFont="1" applyFill="1" applyBorder="1"/>
    <xf numFmtId="0" fontId="22" fillId="3" borderId="11" xfId="0" applyFont="1" applyFill="1" applyBorder="1"/>
    <xf numFmtId="2" fontId="22" fillId="3" borderId="11" xfId="0" applyNumberFormat="1" applyFont="1" applyFill="1" applyBorder="1" applyAlignment="1">
      <alignment horizontal="right"/>
    </xf>
    <xf numFmtId="4" fontId="22" fillId="3" borderId="2" xfId="0" applyNumberFormat="1" applyFont="1" applyFill="1" applyBorder="1"/>
    <xf numFmtId="0" fontId="22" fillId="3" borderId="0" xfId="0" applyFont="1" applyFill="1" applyBorder="1"/>
    <xf numFmtId="4" fontId="21" fillId="0" borderId="0" xfId="0" applyNumberFormat="1" applyFont="1" applyFill="1" applyBorder="1" applyAlignment="1">
      <alignment horizontal="right"/>
    </xf>
    <xf numFmtId="0" fontId="22" fillId="0" borderId="6" xfId="0" applyFont="1" applyFill="1" applyBorder="1" applyAlignment="1">
      <alignment horizontal="left"/>
    </xf>
    <xf numFmtId="164" fontId="22" fillId="0" borderId="8" xfId="0" applyNumberFormat="1" applyFont="1" applyFill="1" applyBorder="1" applyAlignment="1">
      <alignment horizontal="left"/>
    </xf>
    <xf numFmtId="1" fontId="22" fillId="0" borderId="9" xfId="0" applyNumberFormat="1" applyFont="1" applyFill="1" applyBorder="1" applyAlignment="1">
      <alignment horizontal="left"/>
    </xf>
    <xf numFmtId="4" fontId="22" fillId="0" borderId="11" xfId="0" applyNumberFormat="1" applyFont="1" applyFill="1" applyBorder="1" applyAlignment="1">
      <alignment horizontal="right"/>
    </xf>
    <xf numFmtId="1" fontId="22" fillId="0" borderId="1" xfId="0" applyNumberFormat="1" applyFont="1" applyFill="1" applyBorder="1" applyAlignment="1">
      <alignment horizontal="right"/>
    </xf>
    <xf numFmtId="4" fontId="22" fillId="0" borderId="11" xfId="0" applyNumberFormat="1" applyFont="1" applyFill="1" applyBorder="1"/>
    <xf numFmtId="0" fontId="22" fillId="0" borderId="11" xfId="0" applyFont="1" applyFill="1" applyBorder="1"/>
    <xf numFmtId="4" fontId="22" fillId="0" borderId="1" xfId="0" applyNumberFormat="1" applyFont="1" applyFill="1" applyBorder="1"/>
    <xf numFmtId="4" fontId="22" fillId="0" borderId="2" xfId="0" applyNumberFormat="1" applyFont="1" applyFill="1" applyBorder="1"/>
    <xf numFmtId="0" fontId="22" fillId="0" borderId="0" xfId="0" applyFont="1" applyFill="1" applyBorder="1"/>
    <xf numFmtId="4" fontId="22" fillId="0" borderId="1" xfId="0" applyNumberFormat="1" applyFont="1" applyFill="1" applyBorder="1" applyAlignment="1">
      <alignment horizontal="right"/>
    </xf>
    <xf numFmtId="1" fontId="22" fillId="0" borderId="11" xfId="0" applyNumberFormat="1" applyFont="1" applyFill="1" applyBorder="1" applyAlignment="1">
      <alignment horizontal="right"/>
    </xf>
    <xf numFmtId="1" fontId="3" fillId="0" borderId="12" xfId="0" applyNumberFormat="1" applyFont="1" applyFill="1" applyBorder="1" applyAlignment="1">
      <alignment horizontal="right"/>
    </xf>
    <xf numFmtId="0" fontId="3" fillId="0" borderId="10" xfId="0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left"/>
    </xf>
    <xf numFmtId="1" fontId="3" fillId="0" borderId="13" xfId="0" applyNumberFormat="1" applyFont="1" applyFill="1" applyBorder="1" applyAlignment="1">
      <alignment horizontal="left"/>
    </xf>
    <xf numFmtId="4" fontId="3" fillId="0" borderId="10" xfId="0" applyNumberFormat="1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right"/>
    </xf>
    <xf numFmtId="4" fontId="3" fillId="0" borderId="0" xfId="0" applyNumberFormat="1" applyFont="1" applyFill="1" applyBorder="1"/>
    <xf numFmtId="0" fontId="3" fillId="0" borderId="0" xfId="0" applyFont="1" applyFill="1" applyBorder="1"/>
    <xf numFmtId="4" fontId="3" fillId="0" borderId="10" xfId="0" applyNumberFormat="1" applyFont="1" applyFill="1" applyBorder="1"/>
    <xf numFmtId="4" fontId="3" fillId="0" borderId="13" xfId="0" applyNumberFormat="1" applyFont="1" applyFill="1" applyBorder="1"/>
    <xf numFmtId="0" fontId="3" fillId="0" borderId="10" xfId="0" applyFont="1" applyBorder="1" applyAlignment="1">
      <alignment horizontal="justify" vertical="top"/>
    </xf>
    <xf numFmtId="1" fontId="3" fillId="0" borderId="0" xfId="0" applyNumberFormat="1" applyFont="1" applyBorder="1" applyAlignment="1">
      <alignment horizontal="left"/>
    </xf>
    <xf numFmtId="1" fontId="3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2" fontId="3" fillId="0" borderId="0" xfId="0" applyNumberFormat="1" applyFont="1" applyBorder="1" applyAlignment="1">
      <alignment horizontal="right"/>
    </xf>
    <xf numFmtId="4" fontId="23" fillId="0" borderId="6" xfId="0" applyNumberFormat="1" applyFont="1" applyBorder="1"/>
    <xf numFmtId="0" fontId="0" fillId="0" borderId="0" xfId="0" applyFont="1" applyBorder="1"/>
    <xf numFmtId="4" fontId="8" fillId="0" borderId="6" xfId="0" applyNumberFormat="1" applyFont="1" applyBorder="1"/>
    <xf numFmtId="4" fontId="4" fillId="0" borderId="0" xfId="5" applyNumberFormat="1" applyFont="1" applyBorder="1" applyAlignment="1">
      <alignment horizontal="right"/>
    </xf>
    <xf numFmtId="4" fontId="10" fillId="0" borderId="3" xfId="0" applyNumberFormat="1" applyFont="1" applyBorder="1"/>
    <xf numFmtId="4" fontId="10" fillId="0" borderId="13" xfId="0" applyNumberFormat="1" applyFont="1" applyBorder="1"/>
    <xf numFmtId="0" fontId="0" fillId="0" borderId="0" xfId="0" applyFont="1" applyFill="1" applyBorder="1"/>
    <xf numFmtId="0" fontId="11" fillId="0" borderId="3" xfId="0" applyFont="1" applyBorder="1" applyAlignment="1">
      <alignment horizontal="right"/>
    </xf>
    <xf numFmtId="4" fontId="11" fillId="0" borderId="3" xfId="0" applyNumberFormat="1" applyFont="1" applyBorder="1"/>
    <xf numFmtId="4" fontId="0" fillId="0" borderId="0" xfId="0" applyNumberFormat="1" applyBorder="1" applyAlignment="1">
      <alignment horizontal="right"/>
    </xf>
    <xf numFmtId="4" fontId="10" fillId="0" borderId="0" xfId="0" applyNumberFormat="1" applyFont="1" applyBorder="1"/>
    <xf numFmtId="0" fontId="1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2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4" fontId="10" fillId="0" borderId="1" xfId="0" applyNumberFormat="1" applyFont="1" applyBorder="1" applyAlignment="1">
      <alignment horizontal="center" vertical="center"/>
    </xf>
    <xf numFmtId="4" fontId="10" fillId="0" borderId="3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/>
    </xf>
    <xf numFmtId="0" fontId="10" fillId="0" borderId="11" xfId="0" applyNumberFormat="1" applyFont="1" applyBorder="1" applyAlignment="1">
      <alignment horizontal="center"/>
    </xf>
    <xf numFmtId="0" fontId="10" fillId="0" borderId="1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" fillId="0" borderId="0" xfId="1" applyNumberFormat="1" applyFont="1" applyAlignment="1">
      <alignment horizontal="center"/>
    </xf>
    <xf numFmtId="0" fontId="2" fillId="0" borderId="0" xfId="1" applyFont="1" applyAlignment="1">
      <alignment horizontal="left"/>
    </xf>
    <xf numFmtId="0" fontId="2" fillId="0" borderId="2" xfId="1" applyNumberFormat="1" applyFont="1" applyBorder="1" applyAlignment="1">
      <alignment horizontal="center"/>
    </xf>
    <xf numFmtId="0" fontId="2" fillId="0" borderId="1" xfId="1" applyNumberFormat="1" applyFont="1" applyBorder="1" applyAlignment="1">
      <alignment horizontal="center"/>
    </xf>
    <xf numFmtId="0" fontId="1" fillId="0" borderId="0" xfId="2" applyNumberFormat="1" applyFont="1" applyAlignment="1">
      <alignment horizontal="center"/>
    </xf>
    <xf numFmtId="0" fontId="2" fillId="0" borderId="0" xfId="2" applyNumberFormat="1" applyFont="1" applyAlignment="1">
      <alignment horizontal="left"/>
    </xf>
    <xf numFmtId="0" fontId="2" fillId="0" borderId="0" xfId="2" applyFont="1" applyAlignment="1">
      <alignment horizontal="left"/>
    </xf>
    <xf numFmtId="0" fontId="2" fillId="0" borderId="2" xfId="2" applyNumberFormat="1" applyFont="1" applyBorder="1" applyAlignment="1">
      <alignment horizontal="center"/>
    </xf>
    <xf numFmtId="0" fontId="2" fillId="0" borderId="1" xfId="2" applyNumberFormat="1" applyFont="1" applyBorder="1" applyAlignment="1">
      <alignment horizontal="center"/>
    </xf>
    <xf numFmtId="0" fontId="6" fillId="0" borderId="0" xfId="3" applyNumberFormat="1" applyFont="1" applyAlignment="1">
      <alignment horizontal="center"/>
    </xf>
    <xf numFmtId="0" fontId="5" fillId="0" borderId="0" xfId="3" applyNumberFormat="1" applyFont="1" applyAlignment="1">
      <alignment horizontal="left"/>
    </xf>
    <xf numFmtId="0" fontId="5" fillId="0" borderId="0" xfId="3" applyFont="1" applyAlignment="1">
      <alignment horizontal="left"/>
    </xf>
    <xf numFmtId="0" fontId="5" fillId="0" borderId="2" xfId="3" applyNumberFormat="1" applyFont="1" applyBorder="1" applyAlignment="1">
      <alignment horizontal="center"/>
    </xf>
    <xf numFmtId="0" fontId="5" fillId="0" borderId="1" xfId="3" applyNumberFormat="1" applyFont="1" applyBorder="1" applyAlignment="1">
      <alignment horizontal="center"/>
    </xf>
    <xf numFmtId="0" fontId="6" fillId="0" borderId="0" xfId="4" applyNumberFormat="1" applyFont="1" applyAlignment="1">
      <alignment horizontal="center"/>
    </xf>
    <xf numFmtId="0" fontId="5" fillId="0" borderId="0" xfId="4" applyNumberFormat="1" applyFont="1" applyAlignment="1">
      <alignment horizontal="left"/>
    </xf>
  </cellXfs>
  <cellStyles count="6">
    <cellStyle name="Обычный" xfId="0" builtinId="0"/>
    <cellStyle name="Обычный_108" xfId="4"/>
    <cellStyle name="Обычный_благоустрій" xfId="1"/>
    <cellStyle name="Обычный_житло" xfId="5"/>
    <cellStyle name="Обычный_каналіз" xfId="3"/>
    <cellStyle name="Обычный_Лист5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3"/>
  <sheetViews>
    <sheetView topLeftCell="A19" workbookViewId="0">
      <selection activeCell="H33" sqref="H33"/>
    </sheetView>
  </sheetViews>
  <sheetFormatPr defaultRowHeight="15" x14ac:dyDescent="0.25"/>
  <cols>
    <col min="1" max="1" width="5.42578125" style="1" customWidth="1"/>
    <col min="2" max="2" width="9.140625" style="1"/>
    <col min="3" max="3" width="9.85546875" style="1" customWidth="1"/>
    <col min="4" max="4" width="12.28515625" style="1" customWidth="1"/>
    <col min="5" max="5" width="5.28515625" style="1" customWidth="1"/>
    <col min="6" max="6" width="11.7109375" style="1" customWidth="1"/>
    <col min="7" max="7" width="11.5703125" style="1" customWidth="1"/>
    <col min="8" max="8" width="16" style="1" customWidth="1"/>
    <col min="9" max="16" width="9.140625" style="1"/>
    <col min="17" max="17" width="13" style="1" customWidth="1"/>
    <col min="18" max="18" width="10.5703125" style="1" customWidth="1"/>
    <col min="19" max="19" width="9.140625" style="1"/>
  </cols>
  <sheetData>
    <row r="1" spans="1:19" s="1" customFormat="1" x14ac:dyDescent="0.25">
      <c r="A1" s="589" t="s">
        <v>0</v>
      </c>
      <c r="B1" s="589"/>
      <c r="C1" s="589"/>
      <c r="D1" s="589"/>
      <c r="E1" s="589"/>
      <c r="F1" s="589"/>
      <c r="G1" s="589"/>
      <c r="H1" s="589"/>
    </row>
    <row r="2" spans="1:19" s="2" customFormat="1" ht="11.25" x14ac:dyDescent="0.2">
      <c r="D2" s="2" t="s">
        <v>1</v>
      </c>
      <c r="E2" s="590" t="s">
        <v>2</v>
      </c>
      <c r="F2" s="590"/>
    </row>
    <row r="3" spans="1:19" s="1" customFormat="1" x14ac:dyDescent="0.25">
      <c r="D3" s="591" t="s">
        <v>3</v>
      </c>
      <c r="E3" s="591"/>
      <c r="F3" s="591"/>
    </row>
    <row r="4" spans="1:19" s="1" customFormat="1" x14ac:dyDescent="0.25"/>
    <row r="5" spans="1:19" s="5" customFormat="1" ht="11.25" x14ac:dyDescent="0.2">
      <c r="A5" s="3" t="s">
        <v>4</v>
      </c>
      <c r="B5" s="3" t="s">
        <v>5</v>
      </c>
      <c r="C5" s="4"/>
      <c r="D5" s="592" t="s">
        <v>6</v>
      </c>
      <c r="E5" s="592"/>
      <c r="F5" s="3" t="s">
        <v>7</v>
      </c>
      <c r="G5" s="3" t="s">
        <v>8</v>
      </c>
      <c r="H5" s="3" t="s">
        <v>9</v>
      </c>
      <c r="I5" s="3" t="s">
        <v>10</v>
      </c>
      <c r="J5" s="593" t="s">
        <v>11</v>
      </c>
      <c r="K5" s="593"/>
      <c r="L5" s="593"/>
      <c r="M5" s="3" t="s">
        <v>12</v>
      </c>
      <c r="N5" s="3" t="s">
        <v>12</v>
      </c>
      <c r="O5" s="3" t="s">
        <v>13</v>
      </c>
      <c r="P5" s="3" t="s">
        <v>13</v>
      </c>
      <c r="Q5" s="3" t="s">
        <v>8</v>
      </c>
      <c r="R5" s="3" t="s">
        <v>9</v>
      </c>
      <c r="S5" s="3" t="s">
        <v>10</v>
      </c>
    </row>
    <row r="6" spans="1:19" s="5" customFormat="1" ht="11.25" x14ac:dyDescent="0.2">
      <c r="A6" s="6" t="s">
        <v>14</v>
      </c>
      <c r="B6" s="6" t="s">
        <v>15</v>
      </c>
      <c r="C6" s="6" t="s">
        <v>16</v>
      </c>
      <c r="D6" s="7" t="s">
        <v>17</v>
      </c>
      <c r="E6" s="8" t="s">
        <v>18</v>
      </c>
      <c r="F6" s="6" t="s">
        <v>19</v>
      </c>
      <c r="G6" s="6" t="s">
        <v>20</v>
      </c>
      <c r="H6" s="6" t="s">
        <v>20</v>
      </c>
      <c r="I6" s="6" t="s">
        <v>21</v>
      </c>
      <c r="J6" s="3" t="s">
        <v>22</v>
      </c>
      <c r="K6" s="3" t="s">
        <v>23</v>
      </c>
      <c r="L6" s="3" t="s">
        <v>10</v>
      </c>
      <c r="M6" s="6" t="s">
        <v>24</v>
      </c>
      <c r="N6" s="6" t="s">
        <v>25</v>
      </c>
      <c r="O6" s="6" t="s">
        <v>24</v>
      </c>
      <c r="P6" s="6" t="s">
        <v>25</v>
      </c>
      <c r="Q6" s="6" t="s">
        <v>26</v>
      </c>
      <c r="R6" s="6" t="s">
        <v>26</v>
      </c>
      <c r="S6" s="6"/>
    </row>
    <row r="7" spans="1:19" x14ac:dyDescent="0.25">
      <c r="A7" s="9">
        <v>1</v>
      </c>
      <c r="B7" s="10" t="s">
        <v>27</v>
      </c>
      <c r="C7" s="11">
        <v>1</v>
      </c>
      <c r="D7" s="10" t="s">
        <v>28</v>
      </c>
      <c r="E7" s="12">
        <v>12</v>
      </c>
      <c r="F7" s="9">
        <v>1971</v>
      </c>
      <c r="G7" s="13">
        <v>1882677.7</v>
      </c>
      <c r="H7" s="13">
        <v>809868.76</v>
      </c>
      <c r="I7" s="13">
        <v>1288.1500000000001</v>
      </c>
      <c r="J7" s="14" t="s">
        <v>29</v>
      </c>
      <c r="K7" s="14" t="s">
        <v>29</v>
      </c>
      <c r="L7" s="14" t="s">
        <v>29</v>
      </c>
      <c r="M7" s="14" t="s">
        <v>29</v>
      </c>
      <c r="N7" s="14" t="s">
        <v>29</v>
      </c>
      <c r="O7" s="14" t="s">
        <v>29</v>
      </c>
      <c r="P7" s="14" t="s">
        <v>29</v>
      </c>
      <c r="Q7" s="13">
        <v>1882677.7</v>
      </c>
      <c r="R7" s="13">
        <v>808580.61</v>
      </c>
      <c r="S7" s="13">
        <v>1288.1500000000001</v>
      </c>
    </row>
    <row r="8" spans="1:19" x14ac:dyDescent="0.25">
      <c r="A8" s="9">
        <v>3</v>
      </c>
      <c r="B8" s="10" t="s">
        <v>30</v>
      </c>
      <c r="C8" s="11">
        <v>3</v>
      </c>
      <c r="D8" s="10" t="s">
        <v>31</v>
      </c>
      <c r="E8" s="12">
        <v>3</v>
      </c>
      <c r="F8" s="9">
        <v>1960</v>
      </c>
      <c r="G8" s="13">
        <v>344116.87</v>
      </c>
      <c r="H8" s="13">
        <v>123550.95</v>
      </c>
      <c r="I8" s="15">
        <v>249.56</v>
      </c>
      <c r="J8" s="14" t="s">
        <v>29</v>
      </c>
      <c r="K8" s="14" t="s">
        <v>29</v>
      </c>
      <c r="L8" s="14" t="s">
        <v>29</v>
      </c>
      <c r="M8" s="14" t="s">
        <v>29</v>
      </c>
      <c r="N8" s="14" t="s">
        <v>29</v>
      </c>
      <c r="O8" s="14" t="s">
        <v>29</v>
      </c>
      <c r="P8" s="14" t="s">
        <v>29</v>
      </c>
      <c r="Q8" s="13">
        <v>344116.87</v>
      </c>
      <c r="R8" s="13">
        <v>123301.39</v>
      </c>
      <c r="S8" s="15">
        <v>249.56</v>
      </c>
    </row>
    <row r="9" spans="1:19" x14ac:dyDescent="0.25">
      <c r="A9" s="9">
        <v>4</v>
      </c>
      <c r="B9" s="10" t="s">
        <v>32</v>
      </c>
      <c r="C9" s="11">
        <v>4</v>
      </c>
      <c r="D9" s="10" t="s">
        <v>33</v>
      </c>
      <c r="E9" s="12">
        <v>45</v>
      </c>
      <c r="F9" s="9">
        <v>1975</v>
      </c>
      <c r="G9" s="13">
        <v>166683.28</v>
      </c>
      <c r="H9" s="13">
        <v>62137.06</v>
      </c>
      <c r="I9" s="15">
        <v>97.16</v>
      </c>
      <c r="J9" s="14" t="s">
        <v>29</v>
      </c>
      <c r="K9" s="14" t="s">
        <v>29</v>
      </c>
      <c r="L9" s="14" t="s">
        <v>29</v>
      </c>
      <c r="M9" s="14" t="s">
        <v>29</v>
      </c>
      <c r="N9" s="14" t="s">
        <v>29</v>
      </c>
      <c r="O9" s="14" t="s">
        <v>29</v>
      </c>
      <c r="P9" s="14" t="s">
        <v>29</v>
      </c>
      <c r="Q9" s="13">
        <v>166683.28</v>
      </c>
      <c r="R9" s="13">
        <v>62039.9</v>
      </c>
      <c r="S9" s="15">
        <v>97.16</v>
      </c>
    </row>
    <row r="10" spans="1:19" x14ac:dyDescent="0.25">
      <c r="A10" s="9">
        <v>9</v>
      </c>
      <c r="B10" s="10" t="s">
        <v>34</v>
      </c>
      <c r="C10" s="11">
        <v>9</v>
      </c>
      <c r="D10" s="10" t="s">
        <v>35</v>
      </c>
      <c r="E10" s="12">
        <v>8</v>
      </c>
      <c r="F10" s="9">
        <v>1982</v>
      </c>
      <c r="G10" s="13">
        <v>1993279.98</v>
      </c>
      <c r="H10" s="13">
        <v>861225.36</v>
      </c>
      <c r="I10" s="13">
        <v>1131.1099999999999</v>
      </c>
      <c r="J10" s="14" t="s">
        <v>29</v>
      </c>
      <c r="K10" s="14" t="s">
        <v>29</v>
      </c>
      <c r="L10" s="14" t="s">
        <v>29</v>
      </c>
      <c r="M10" s="14" t="s">
        <v>29</v>
      </c>
      <c r="N10" s="14" t="s">
        <v>29</v>
      </c>
      <c r="O10" s="14" t="s">
        <v>29</v>
      </c>
      <c r="P10" s="14" t="s">
        <v>29</v>
      </c>
      <c r="Q10" s="13">
        <v>1993279.98</v>
      </c>
      <c r="R10" s="13">
        <v>860094.25</v>
      </c>
      <c r="S10" s="13">
        <v>1131.1099999999999</v>
      </c>
    </row>
    <row r="11" spans="1:19" x14ac:dyDescent="0.25">
      <c r="A11" s="9">
        <v>10</v>
      </c>
      <c r="B11" s="10" t="s">
        <v>36</v>
      </c>
      <c r="C11" s="11">
        <v>10</v>
      </c>
      <c r="D11" s="10" t="s">
        <v>37</v>
      </c>
      <c r="E11" s="12">
        <v>46</v>
      </c>
      <c r="F11" s="9">
        <v>1986</v>
      </c>
      <c r="G11" s="13">
        <v>132650.72</v>
      </c>
      <c r="H11" s="13">
        <v>53370.26</v>
      </c>
      <c r="I11" s="15">
        <v>70.540000000000006</v>
      </c>
      <c r="J11" s="14" t="s">
        <v>29</v>
      </c>
      <c r="K11" s="14" t="s">
        <v>29</v>
      </c>
      <c r="L11" s="14" t="s">
        <v>29</v>
      </c>
      <c r="M11" s="14" t="s">
        <v>29</v>
      </c>
      <c r="N11" s="14" t="s">
        <v>29</v>
      </c>
      <c r="O11" s="14" t="s">
        <v>29</v>
      </c>
      <c r="P11" s="14" t="s">
        <v>29</v>
      </c>
      <c r="Q11" s="13">
        <v>132650.72</v>
      </c>
      <c r="R11" s="13">
        <v>53299.72</v>
      </c>
      <c r="S11" s="15">
        <v>70.540000000000006</v>
      </c>
    </row>
    <row r="12" spans="1:19" x14ac:dyDescent="0.25">
      <c r="A12" s="9">
        <v>22</v>
      </c>
      <c r="B12" s="10" t="s">
        <v>38</v>
      </c>
      <c r="C12" s="11">
        <v>23</v>
      </c>
      <c r="D12" s="10" t="s">
        <v>39</v>
      </c>
      <c r="E12" s="12">
        <v>21</v>
      </c>
      <c r="F12" s="9">
        <v>1940</v>
      </c>
      <c r="G12" s="13">
        <v>158530.26</v>
      </c>
      <c r="H12" s="13">
        <v>29686.87</v>
      </c>
      <c r="I12" s="15">
        <v>114.78</v>
      </c>
      <c r="J12" s="14" t="s">
        <v>29</v>
      </c>
      <c r="K12" s="14" t="s">
        <v>29</v>
      </c>
      <c r="L12" s="14" t="s">
        <v>29</v>
      </c>
      <c r="M12" s="14" t="s">
        <v>29</v>
      </c>
      <c r="N12" s="14" t="s">
        <v>29</v>
      </c>
      <c r="O12" s="14" t="s">
        <v>29</v>
      </c>
      <c r="P12" s="14" t="s">
        <v>29</v>
      </c>
      <c r="Q12" s="13">
        <v>158530.26</v>
      </c>
      <c r="R12" s="13">
        <v>29572.09</v>
      </c>
      <c r="S12" s="15">
        <v>114.78</v>
      </c>
    </row>
    <row r="13" spans="1:19" x14ac:dyDescent="0.25">
      <c r="A13" s="9">
        <v>26</v>
      </c>
      <c r="B13" s="10" t="s">
        <v>40</v>
      </c>
      <c r="C13" s="11">
        <v>27</v>
      </c>
      <c r="D13" s="10" t="s">
        <v>39</v>
      </c>
      <c r="E13" s="12">
        <v>32</v>
      </c>
      <c r="F13" s="9">
        <v>1939</v>
      </c>
      <c r="G13" s="13">
        <v>186813.95</v>
      </c>
      <c r="H13" s="13">
        <v>38128.019999999997</v>
      </c>
      <c r="I13" s="15">
        <v>154.63999999999999</v>
      </c>
      <c r="J13" s="14" t="s">
        <v>29</v>
      </c>
      <c r="K13" s="14" t="s">
        <v>29</v>
      </c>
      <c r="L13" s="14" t="s">
        <v>29</v>
      </c>
      <c r="M13" s="14" t="s">
        <v>29</v>
      </c>
      <c r="N13" s="14" t="s">
        <v>29</v>
      </c>
      <c r="O13" s="14" t="s">
        <v>29</v>
      </c>
      <c r="P13" s="14" t="s">
        <v>29</v>
      </c>
      <c r="Q13" s="13">
        <v>186813.95</v>
      </c>
      <c r="R13" s="13">
        <v>37973.379999999997</v>
      </c>
      <c r="S13" s="15">
        <v>154.63999999999999</v>
      </c>
    </row>
    <row r="14" spans="1:19" x14ac:dyDescent="0.25">
      <c r="A14" s="9">
        <v>28</v>
      </c>
      <c r="B14" s="10" t="s">
        <v>41</v>
      </c>
      <c r="C14" s="11">
        <v>29</v>
      </c>
      <c r="D14" s="10" t="s">
        <v>39</v>
      </c>
      <c r="E14" s="12">
        <v>44</v>
      </c>
      <c r="F14" s="9">
        <v>1939</v>
      </c>
      <c r="G14" s="13">
        <v>244965.75</v>
      </c>
      <c r="H14" s="13">
        <v>43373.74</v>
      </c>
      <c r="I14" s="15">
        <v>174.92</v>
      </c>
      <c r="J14" s="14" t="s">
        <v>29</v>
      </c>
      <c r="K14" s="14" t="s">
        <v>29</v>
      </c>
      <c r="L14" s="14" t="s">
        <v>29</v>
      </c>
      <c r="M14" s="14" t="s">
        <v>29</v>
      </c>
      <c r="N14" s="14" t="s">
        <v>29</v>
      </c>
      <c r="O14" s="14" t="s">
        <v>29</v>
      </c>
      <c r="P14" s="14" t="s">
        <v>29</v>
      </c>
      <c r="Q14" s="13">
        <v>244965.75</v>
      </c>
      <c r="R14" s="13">
        <v>43198.82</v>
      </c>
      <c r="S14" s="15">
        <v>174.92</v>
      </c>
    </row>
    <row r="15" spans="1:19" x14ac:dyDescent="0.25">
      <c r="A15" s="9">
        <v>36</v>
      </c>
      <c r="B15" s="10" t="s">
        <v>42</v>
      </c>
      <c r="C15" s="11">
        <v>37</v>
      </c>
      <c r="D15" s="10" t="s">
        <v>43</v>
      </c>
      <c r="E15" s="12">
        <v>21</v>
      </c>
      <c r="F15" s="9">
        <v>1948</v>
      </c>
      <c r="G15" s="13">
        <v>735613.92</v>
      </c>
      <c r="H15" s="13">
        <v>166780.76999999999</v>
      </c>
      <c r="I15" s="15">
        <v>543.48</v>
      </c>
      <c r="J15" s="14" t="s">
        <v>29</v>
      </c>
      <c r="K15" s="14" t="s">
        <v>29</v>
      </c>
      <c r="L15" s="14" t="s">
        <v>29</v>
      </c>
      <c r="M15" s="14" t="s">
        <v>29</v>
      </c>
      <c r="N15" s="14" t="s">
        <v>29</v>
      </c>
      <c r="O15" s="14" t="s">
        <v>29</v>
      </c>
      <c r="P15" s="14" t="s">
        <v>29</v>
      </c>
      <c r="Q15" s="13">
        <v>735613.92</v>
      </c>
      <c r="R15" s="13">
        <v>166237.29</v>
      </c>
      <c r="S15" s="15">
        <v>543.48</v>
      </c>
    </row>
    <row r="16" spans="1:19" x14ac:dyDescent="0.25">
      <c r="A16" s="9">
        <v>38</v>
      </c>
      <c r="B16" s="10" t="s">
        <v>44</v>
      </c>
      <c r="C16" s="11">
        <v>39</v>
      </c>
      <c r="D16" s="10" t="s">
        <v>43</v>
      </c>
      <c r="E16" s="12">
        <v>32</v>
      </c>
      <c r="F16" s="9">
        <v>1939</v>
      </c>
      <c r="G16" s="13">
        <v>57170.18</v>
      </c>
      <c r="H16" s="13">
        <v>8817.16</v>
      </c>
      <c r="I16" s="15">
        <v>38.380000000000003</v>
      </c>
      <c r="J16" s="14" t="s">
        <v>29</v>
      </c>
      <c r="K16" s="14" t="s">
        <v>29</v>
      </c>
      <c r="L16" s="14" t="s">
        <v>29</v>
      </c>
      <c r="M16" s="14" t="s">
        <v>29</v>
      </c>
      <c r="N16" s="14" t="s">
        <v>29</v>
      </c>
      <c r="O16" s="14" t="s">
        <v>29</v>
      </c>
      <c r="P16" s="14" t="s">
        <v>29</v>
      </c>
      <c r="Q16" s="13">
        <v>57170.18</v>
      </c>
      <c r="R16" s="13">
        <v>8778.7800000000007</v>
      </c>
      <c r="S16" s="15">
        <v>38.380000000000003</v>
      </c>
    </row>
    <row r="17" spans="1:19" x14ac:dyDescent="0.25">
      <c r="A17" s="9">
        <v>39</v>
      </c>
      <c r="B17" s="10" t="s">
        <v>45</v>
      </c>
      <c r="C17" s="11">
        <v>40</v>
      </c>
      <c r="D17" s="10" t="s">
        <v>46</v>
      </c>
      <c r="E17" s="12">
        <v>2</v>
      </c>
      <c r="F17" s="9">
        <v>1939</v>
      </c>
      <c r="G17" s="13">
        <v>708183.91</v>
      </c>
      <c r="H17" s="13">
        <v>115587.66</v>
      </c>
      <c r="I17" s="15">
        <v>462.43</v>
      </c>
      <c r="J17" s="14" t="s">
        <v>29</v>
      </c>
      <c r="K17" s="14" t="s">
        <v>29</v>
      </c>
      <c r="L17" s="14" t="s">
        <v>29</v>
      </c>
      <c r="M17" s="14" t="s">
        <v>29</v>
      </c>
      <c r="N17" s="14" t="s">
        <v>29</v>
      </c>
      <c r="O17" s="14" t="s">
        <v>29</v>
      </c>
      <c r="P17" s="14" t="s">
        <v>29</v>
      </c>
      <c r="Q17" s="13">
        <v>708183.91</v>
      </c>
      <c r="R17" s="13">
        <v>115125.23</v>
      </c>
      <c r="S17" s="15">
        <v>462.43</v>
      </c>
    </row>
    <row r="18" spans="1:19" x14ac:dyDescent="0.25">
      <c r="A18" s="9">
        <v>46</v>
      </c>
      <c r="B18" s="10" t="s">
        <v>47</v>
      </c>
      <c r="C18" s="11">
        <v>47</v>
      </c>
      <c r="D18" s="10" t="s">
        <v>46</v>
      </c>
      <c r="E18" s="12">
        <v>10</v>
      </c>
      <c r="F18" s="9">
        <v>1939</v>
      </c>
      <c r="G18" s="13">
        <v>61016.47</v>
      </c>
      <c r="H18" s="13">
        <v>10174.39</v>
      </c>
      <c r="I18" s="15">
        <v>42.43</v>
      </c>
      <c r="J18" s="14" t="s">
        <v>29</v>
      </c>
      <c r="K18" s="14" t="s">
        <v>29</v>
      </c>
      <c r="L18" s="14" t="s">
        <v>29</v>
      </c>
      <c r="M18" s="14" t="s">
        <v>29</v>
      </c>
      <c r="N18" s="14" t="s">
        <v>29</v>
      </c>
      <c r="O18" s="14" t="s">
        <v>29</v>
      </c>
      <c r="P18" s="14" t="s">
        <v>29</v>
      </c>
      <c r="Q18" s="13">
        <v>61016.47</v>
      </c>
      <c r="R18" s="13">
        <v>10131.959999999999</v>
      </c>
      <c r="S18" s="15">
        <v>42.43</v>
      </c>
    </row>
    <row r="19" spans="1:19" x14ac:dyDescent="0.25">
      <c r="A19" s="9">
        <v>50</v>
      </c>
      <c r="B19" s="10" t="s">
        <v>48</v>
      </c>
      <c r="C19" s="11">
        <v>51</v>
      </c>
      <c r="D19" s="10" t="s">
        <v>46</v>
      </c>
      <c r="E19" s="12">
        <v>19</v>
      </c>
      <c r="F19" s="9">
        <v>1939</v>
      </c>
      <c r="G19" s="13">
        <v>111604.55</v>
      </c>
      <c r="H19" s="13">
        <v>19597.37</v>
      </c>
      <c r="I19" s="15">
        <v>85.84</v>
      </c>
      <c r="J19" s="14" t="s">
        <v>29</v>
      </c>
      <c r="K19" s="14" t="s">
        <v>29</v>
      </c>
      <c r="L19" s="14" t="s">
        <v>29</v>
      </c>
      <c r="M19" s="14" t="s">
        <v>29</v>
      </c>
      <c r="N19" s="14" t="s">
        <v>29</v>
      </c>
      <c r="O19" s="14" t="s">
        <v>29</v>
      </c>
      <c r="P19" s="14" t="s">
        <v>29</v>
      </c>
      <c r="Q19" s="13">
        <v>111604.55</v>
      </c>
      <c r="R19" s="13">
        <v>19511.53</v>
      </c>
      <c r="S19" s="15">
        <v>85.84</v>
      </c>
    </row>
    <row r="20" spans="1:19" x14ac:dyDescent="0.25">
      <c r="A20" s="9">
        <v>51</v>
      </c>
      <c r="B20" s="10" t="s">
        <v>49</v>
      </c>
      <c r="C20" s="11">
        <v>52</v>
      </c>
      <c r="D20" s="10" t="s">
        <v>50</v>
      </c>
      <c r="E20" s="12">
        <v>2</v>
      </c>
      <c r="F20" s="9">
        <v>1939</v>
      </c>
      <c r="G20" s="13">
        <v>13412.29</v>
      </c>
      <c r="H20" s="13">
        <v>2548.87</v>
      </c>
      <c r="I20" s="15">
        <v>10.93</v>
      </c>
      <c r="J20" s="14" t="s">
        <v>29</v>
      </c>
      <c r="K20" s="14" t="s">
        <v>29</v>
      </c>
      <c r="L20" s="14" t="s">
        <v>29</v>
      </c>
      <c r="M20" s="14" t="s">
        <v>29</v>
      </c>
      <c r="N20" s="14" t="s">
        <v>29</v>
      </c>
      <c r="O20" s="14" t="s">
        <v>29</v>
      </c>
      <c r="P20" s="14" t="s">
        <v>29</v>
      </c>
      <c r="Q20" s="13">
        <v>13412.29</v>
      </c>
      <c r="R20" s="13">
        <v>2537.94</v>
      </c>
      <c r="S20" s="15">
        <v>10.93</v>
      </c>
    </row>
    <row r="21" spans="1:19" x14ac:dyDescent="0.25">
      <c r="A21" s="9">
        <v>56</v>
      </c>
      <c r="B21" s="10" t="s">
        <v>51</v>
      </c>
      <c r="C21" s="11">
        <v>57</v>
      </c>
      <c r="D21" s="10" t="s">
        <v>50</v>
      </c>
      <c r="E21" s="12">
        <v>8</v>
      </c>
      <c r="F21" s="9">
        <v>1948</v>
      </c>
      <c r="G21" s="13">
        <v>69018.97</v>
      </c>
      <c r="H21" s="13">
        <v>12412.36</v>
      </c>
      <c r="I21" s="15">
        <v>39.229999999999997</v>
      </c>
      <c r="J21" s="14" t="s">
        <v>29</v>
      </c>
      <c r="K21" s="14" t="s">
        <v>29</v>
      </c>
      <c r="L21" s="14" t="s">
        <v>29</v>
      </c>
      <c r="M21" s="14" t="s">
        <v>29</v>
      </c>
      <c r="N21" s="14" t="s">
        <v>29</v>
      </c>
      <c r="O21" s="14" t="s">
        <v>29</v>
      </c>
      <c r="P21" s="14" t="s">
        <v>29</v>
      </c>
      <c r="Q21" s="13">
        <v>69018.97</v>
      </c>
      <c r="R21" s="13">
        <v>12373.13</v>
      </c>
      <c r="S21" s="15">
        <v>39.229999999999997</v>
      </c>
    </row>
    <row r="22" spans="1:19" x14ac:dyDescent="0.25">
      <c r="A22" s="9">
        <v>58</v>
      </c>
      <c r="B22" s="10" t="s">
        <v>52</v>
      </c>
      <c r="C22" s="11">
        <v>59</v>
      </c>
      <c r="D22" s="10" t="s">
        <v>50</v>
      </c>
      <c r="E22" s="12">
        <v>16</v>
      </c>
      <c r="F22" s="9">
        <v>1939</v>
      </c>
      <c r="G22" s="13">
        <v>30134.92</v>
      </c>
      <c r="H22" s="13">
        <v>5159.18</v>
      </c>
      <c r="I22" s="15">
        <v>22.12</v>
      </c>
      <c r="J22" s="14" t="s">
        <v>29</v>
      </c>
      <c r="K22" s="14" t="s">
        <v>29</v>
      </c>
      <c r="L22" s="14" t="s">
        <v>29</v>
      </c>
      <c r="M22" s="14" t="s">
        <v>29</v>
      </c>
      <c r="N22" s="14" t="s">
        <v>29</v>
      </c>
      <c r="O22" s="14" t="s">
        <v>29</v>
      </c>
      <c r="P22" s="14" t="s">
        <v>29</v>
      </c>
      <c r="Q22" s="13">
        <v>30134.92</v>
      </c>
      <c r="R22" s="13">
        <v>5137.0600000000004</v>
      </c>
      <c r="S22" s="15">
        <v>22.12</v>
      </c>
    </row>
    <row r="23" spans="1:19" x14ac:dyDescent="0.25">
      <c r="A23" s="9">
        <v>61</v>
      </c>
      <c r="B23" s="10" t="s">
        <v>53</v>
      </c>
      <c r="C23" s="11">
        <v>62</v>
      </c>
      <c r="D23" s="10" t="s">
        <v>50</v>
      </c>
      <c r="E23" s="12">
        <v>23</v>
      </c>
      <c r="F23" s="9">
        <v>1939</v>
      </c>
      <c r="G23" s="13">
        <v>715371.05</v>
      </c>
      <c r="H23" s="13">
        <v>90574.44</v>
      </c>
      <c r="I23" s="15">
        <v>361.72</v>
      </c>
      <c r="J23" s="14" t="s">
        <v>29</v>
      </c>
      <c r="K23" s="14" t="s">
        <v>29</v>
      </c>
      <c r="L23" s="14" t="s">
        <v>29</v>
      </c>
      <c r="M23" s="14" t="s">
        <v>29</v>
      </c>
      <c r="N23" s="14" t="s">
        <v>29</v>
      </c>
      <c r="O23" s="14" t="s">
        <v>29</v>
      </c>
      <c r="P23" s="14" t="s">
        <v>29</v>
      </c>
      <c r="Q23" s="13">
        <v>715371.05</v>
      </c>
      <c r="R23" s="13">
        <v>90212.72</v>
      </c>
      <c r="S23" s="15">
        <v>361.72</v>
      </c>
    </row>
    <row r="24" spans="1:19" x14ac:dyDescent="0.25">
      <c r="A24" s="9">
        <v>69</v>
      </c>
      <c r="B24" s="10" t="s">
        <v>54</v>
      </c>
      <c r="C24" s="11">
        <v>70</v>
      </c>
      <c r="D24" s="10" t="s">
        <v>55</v>
      </c>
      <c r="E24" s="12">
        <v>8</v>
      </c>
      <c r="F24" s="9">
        <v>1939</v>
      </c>
      <c r="G24" s="13">
        <v>248367.66</v>
      </c>
      <c r="H24" s="13">
        <v>48466.65</v>
      </c>
      <c r="I24" s="15">
        <v>195.35</v>
      </c>
      <c r="J24" s="14" t="s">
        <v>29</v>
      </c>
      <c r="K24" s="14" t="s">
        <v>29</v>
      </c>
      <c r="L24" s="14" t="s">
        <v>29</v>
      </c>
      <c r="M24" s="14" t="s">
        <v>29</v>
      </c>
      <c r="N24" s="14" t="s">
        <v>29</v>
      </c>
      <c r="O24" s="14" t="s">
        <v>29</v>
      </c>
      <c r="P24" s="14" t="s">
        <v>29</v>
      </c>
      <c r="Q24" s="13">
        <v>248367.66</v>
      </c>
      <c r="R24" s="13">
        <v>48271.3</v>
      </c>
      <c r="S24" s="15">
        <v>195.35</v>
      </c>
    </row>
    <row r="25" spans="1:19" x14ac:dyDescent="0.25">
      <c r="A25" s="9">
        <v>70</v>
      </c>
      <c r="B25" s="10" t="s">
        <v>56</v>
      </c>
      <c r="C25" s="11">
        <v>71</v>
      </c>
      <c r="D25" s="10" t="s">
        <v>55</v>
      </c>
      <c r="E25" s="12">
        <v>10</v>
      </c>
      <c r="F25" s="9">
        <v>1939</v>
      </c>
      <c r="G25" s="13">
        <v>93391.4</v>
      </c>
      <c r="H25" s="13">
        <v>16384.38</v>
      </c>
      <c r="I25" s="15">
        <v>66.34</v>
      </c>
      <c r="J25" s="14" t="s">
        <v>29</v>
      </c>
      <c r="K25" s="14" t="s">
        <v>29</v>
      </c>
      <c r="L25" s="14" t="s">
        <v>29</v>
      </c>
      <c r="M25" s="14" t="s">
        <v>29</v>
      </c>
      <c r="N25" s="14" t="s">
        <v>29</v>
      </c>
      <c r="O25" s="14" t="s">
        <v>29</v>
      </c>
      <c r="P25" s="14" t="s">
        <v>29</v>
      </c>
      <c r="Q25" s="13">
        <v>93391.4</v>
      </c>
      <c r="R25" s="13">
        <v>16318.04</v>
      </c>
      <c r="S25" s="15">
        <v>66.34</v>
      </c>
    </row>
    <row r="26" spans="1:19" x14ac:dyDescent="0.25">
      <c r="A26" s="9">
        <v>72</v>
      </c>
      <c r="B26" s="10" t="s">
        <v>57</v>
      </c>
      <c r="C26" s="11">
        <v>73</v>
      </c>
      <c r="D26" s="10" t="s">
        <v>55</v>
      </c>
      <c r="E26" s="12">
        <v>11</v>
      </c>
      <c r="F26" s="9">
        <v>1939</v>
      </c>
      <c r="G26" s="13">
        <v>158557.16</v>
      </c>
      <c r="H26" s="13">
        <v>24247.87</v>
      </c>
      <c r="I26" s="15">
        <v>98.25</v>
      </c>
      <c r="J26" s="14" t="s">
        <v>29</v>
      </c>
      <c r="K26" s="14" t="s">
        <v>29</v>
      </c>
      <c r="L26" s="14" t="s">
        <v>29</v>
      </c>
      <c r="M26" s="14" t="s">
        <v>29</v>
      </c>
      <c r="N26" s="14" t="s">
        <v>29</v>
      </c>
      <c r="O26" s="14" t="s">
        <v>29</v>
      </c>
      <c r="P26" s="14" t="s">
        <v>29</v>
      </c>
      <c r="Q26" s="13">
        <v>158557.16</v>
      </c>
      <c r="R26" s="13">
        <v>24149.62</v>
      </c>
      <c r="S26" s="15">
        <v>98.25</v>
      </c>
    </row>
    <row r="27" spans="1:19" x14ac:dyDescent="0.25">
      <c r="A27" s="9">
        <v>80</v>
      </c>
      <c r="B27" s="10" t="s">
        <v>58</v>
      </c>
      <c r="C27" s="11">
        <v>81</v>
      </c>
      <c r="D27" s="10" t="s">
        <v>55</v>
      </c>
      <c r="E27" s="12">
        <v>20</v>
      </c>
      <c r="F27" s="9">
        <v>1939</v>
      </c>
      <c r="G27" s="13">
        <v>111507.03</v>
      </c>
      <c r="H27" s="13">
        <v>22476.92</v>
      </c>
      <c r="I27" s="15">
        <v>91.41</v>
      </c>
      <c r="J27" s="14" t="s">
        <v>29</v>
      </c>
      <c r="K27" s="14" t="s">
        <v>29</v>
      </c>
      <c r="L27" s="14" t="s">
        <v>29</v>
      </c>
      <c r="M27" s="14" t="s">
        <v>29</v>
      </c>
      <c r="N27" s="14" t="s">
        <v>29</v>
      </c>
      <c r="O27" s="14" t="s">
        <v>29</v>
      </c>
      <c r="P27" s="14" t="s">
        <v>29</v>
      </c>
      <c r="Q27" s="13">
        <v>111507.03</v>
      </c>
      <c r="R27" s="13">
        <v>22385.51</v>
      </c>
      <c r="S27" s="15">
        <v>91.41</v>
      </c>
    </row>
    <row r="28" spans="1:19" x14ac:dyDescent="0.25">
      <c r="A28" s="9">
        <v>81</v>
      </c>
      <c r="B28" s="10" t="s">
        <v>59</v>
      </c>
      <c r="C28" s="11">
        <v>82</v>
      </c>
      <c r="D28" s="10" t="s">
        <v>55</v>
      </c>
      <c r="E28" s="12">
        <v>22</v>
      </c>
      <c r="F28" s="9">
        <v>1939</v>
      </c>
      <c r="G28" s="13">
        <v>116830.85</v>
      </c>
      <c r="H28" s="13">
        <v>21048.65</v>
      </c>
      <c r="I28" s="15">
        <v>85.41</v>
      </c>
      <c r="J28" s="14" t="s">
        <v>29</v>
      </c>
      <c r="K28" s="14" t="s">
        <v>29</v>
      </c>
      <c r="L28" s="14" t="s">
        <v>29</v>
      </c>
      <c r="M28" s="14" t="s">
        <v>29</v>
      </c>
      <c r="N28" s="14" t="s">
        <v>29</v>
      </c>
      <c r="O28" s="14" t="s">
        <v>29</v>
      </c>
      <c r="P28" s="14" t="s">
        <v>29</v>
      </c>
      <c r="Q28" s="13">
        <v>116830.85</v>
      </c>
      <c r="R28" s="13">
        <v>20963.240000000002</v>
      </c>
      <c r="S28" s="15">
        <v>85.41</v>
      </c>
    </row>
    <row r="29" spans="1:19" x14ac:dyDescent="0.25">
      <c r="A29" s="9">
        <v>82</v>
      </c>
      <c r="B29" s="10" t="s">
        <v>60</v>
      </c>
      <c r="C29" s="11">
        <v>83</v>
      </c>
      <c r="D29" s="10" t="s">
        <v>55</v>
      </c>
      <c r="E29" s="12">
        <v>23</v>
      </c>
      <c r="F29" s="9">
        <v>1872</v>
      </c>
      <c r="G29" s="13">
        <v>95841.99</v>
      </c>
      <c r="H29" s="13">
        <v>11325.02</v>
      </c>
      <c r="I29" s="15">
        <v>81.709999999999994</v>
      </c>
      <c r="J29" s="14" t="s">
        <v>29</v>
      </c>
      <c r="K29" s="14" t="s">
        <v>29</v>
      </c>
      <c r="L29" s="14" t="s">
        <v>29</v>
      </c>
      <c r="M29" s="14" t="s">
        <v>29</v>
      </c>
      <c r="N29" s="14" t="s">
        <v>29</v>
      </c>
      <c r="O29" s="14" t="s">
        <v>29</v>
      </c>
      <c r="P29" s="14" t="s">
        <v>29</v>
      </c>
      <c r="Q29" s="13">
        <v>95841.99</v>
      </c>
      <c r="R29" s="13">
        <v>11243.31</v>
      </c>
      <c r="S29" s="15">
        <v>81.709999999999994</v>
      </c>
    </row>
    <row r="30" spans="1:19" x14ac:dyDescent="0.25">
      <c r="A30" s="9">
        <v>83</v>
      </c>
      <c r="B30" s="10" t="s">
        <v>61</v>
      </c>
      <c r="C30" s="11">
        <v>84</v>
      </c>
      <c r="D30" s="10" t="s">
        <v>55</v>
      </c>
      <c r="E30" s="12">
        <v>24</v>
      </c>
      <c r="F30" s="9">
        <v>1939</v>
      </c>
      <c r="G30" s="13">
        <v>55398.93</v>
      </c>
      <c r="H30" s="13">
        <v>9689.73</v>
      </c>
      <c r="I30" s="15">
        <v>41.28</v>
      </c>
      <c r="J30" s="14" t="s">
        <v>29</v>
      </c>
      <c r="K30" s="14" t="s">
        <v>29</v>
      </c>
      <c r="L30" s="14" t="s">
        <v>29</v>
      </c>
      <c r="M30" s="14" t="s">
        <v>29</v>
      </c>
      <c r="N30" s="14" t="s">
        <v>29</v>
      </c>
      <c r="O30" s="14" t="s">
        <v>29</v>
      </c>
      <c r="P30" s="14" t="s">
        <v>29</v>
      </c>
      <c r="Q30" s="13">
        <v>55398.93</v>
      </c>
      <c r="R30" s="13">
        <v>9648.4500000000007</v>
      </c>
      <c r="S30" s="15">
        <v>41.28</v>
      </c>
    </row>
    <row r="31" spans="1:19" x14ac:dyDescent="0.25">
      <c r="A31" s="9">
        <v>109</v>
      </c>
      <c r="B31" s="10" t="s">
        <v>62</v>
      </c>
      <c r="C31" s="11">
        <v>110</v>
      </c>
      <c r="D31" s="10" t="s">
        <v>28</v>
      </c>
      <c r="E31" s="12">
        <v>11</v>
      </c>
      <c r="F31" s="9">
        <v>1915</v>
      </c>
      <c r="G31" s="13">
        <v>77227.16</v>
      </c>
      <c r="H31" s="13">
        <v>13907.27</v>
      </c>
      <c r="I31" s="15">
        <v>96.25</v>
      </c>
      <c r="J31" s="14" t="s">
        <v>29</v>
      </c>
      <c r="K31" s="14" t="s">
        <v>29</v>
      </c>
      <c r="L31" s="14" t="s">
        <v>29</v>
      </c>
      <c r="M31" s="14" t="s">
        <v>29</v>
      </c>
      <c r="N31" s="14" t="s">
        <v>29</v>
      </c>
      <c r="O31" s="14" t="s">
        <v>29</v>
      </c>
      <c r="P31" s="14" t="s">
        <v>29</v>
      </c>
      <c r="Q31" s="13">
        <v>77227.16</v>
      </c>
      <c r="R31" s="13">
        <v>13811.02</v>
      </c>
      <c r="S31" s="15">
        <v>96.25</v>
      </c>
    </row>
    <row r="32" spans="1:19" x14ac:dyDescent="0.25">
      <c r="A32" s="9">
        <v>112</v>
      </c>
      <c r="B32" s="10" t="s">
        <v>63</v>
      </c>
      <c r="C32" s="11">
        <v>113</v>
      </c>
      <c r="D32" s="10" t="s">
        <v>33</v>
      </c>
      <c r="E32" s="12">
        <v>10</v>
      </c>
      <c r="F32" s="9">
        <v>1883</v>
      </c>
      <c r="G32" s="13">
        <v>47224.800000000003</v>
      </c>
      <c r="H32" s="13">
        <v>4807.8</v>
      </c>
      <c r="I32" s="15">
        <v>32.43</v>
      </c>
      <c r="J32" s="14" t="s">
        <v>29</v>
      </c>
      <c r="K32" s="14" t="s">
        <v>29</v>
      </c>
      <c r="L32" s="14" t="s">
        <v>29</v>
      </c>
      <c r="M32" s="14" t="s">
        <v>29</v>
      </c>
      <c r="N32" s="14" t="s">
        <v>29</v>
      </c>
      <c r="O32" s="14" t="s">
        <v>29</v>
      </c>
      <c r="P32" s="14" t="s">
        <v>29</v>
      </c>
      <c r="Q32" s="13">
        <v>47224.800000000003</v>
      </c>
      <c r="R32" s="13">
        <v>4775.37</v>
      </c>
      <c r="S32" s="15">
        <v>32.43</v>
      </c>
    </row>
    <row r="33" spans="1:19" x14ac:dyDescent="0.25">
      <c r="A33" s="9">
        <v>120</v>
      </c>
      <c r="B33" s="10" t="s">
        <v>64</v>
      </c>
      <c r="C33" s="11">
        <v>121</v>
      </c>
      <c r="D33" s="10" t="s">
        <v>65</v>
      </c>
      <c r="E33" s="12">
        <v>3</v>
      </c>
      <c r="F33" s="9">
        <v>1939</v>
      </c>
      <c r="G33" s="13">
        <v>67567.8</v>
      </c>
      <c r="H33" s="13">
        <v>79001.009999999995</v>
      </c>
      <c r="I33" s="15">
        <v>46.77</v>
      </c>
      <c r="J33" s="14" t="s">
        <v>29</v>
      </c>
      <c r="K33" s="14" t="s">
        <v>29</v>
      </c>
      <c r="L33" s="14" t="s">
        <v>29</v>
      </c>
      <c r="M33" s="14" t="s">
        <v>29</v>
      </c>
      <c r="N33" s="14" t="s">
        <v>29</v>
      </c>
      <c r="O33" s="14" t="s">
        <v>29</v>
      </c>
      <c r="P33" s="14" t="s">
        <v>29</v>
      </c>
      <c r="Q33" s="13">
        <v>67567.8</v>
      </c>
      <c r="R33" s="13">
        <v>78954.240000000005</v>
      </c>
      <c r="S33" s="15">
        <v>46.77</v>
      </c>
    </row>
    <row r="34" spans="1:19" x14ac:dyDescent="0.25">
      <c r="A34" s="9">
        <v>125</v>
      </c>
      <c r="B34" s="10" t="s">
        <v>66</v>
      </c>
      <c r="C34" s="11">
        <v>126</v>
      </c>
      <c r="D34" s="10" t="s">
        <v>65</v>
      </c>
      <c r="E34" s="12">
        <v>24</v>
      </c>
      <c r="F34" s="9">
        <v>1939</v>
      </c>
      <c r="G34" s="13">
        <v>78455.820000000007</v>
      </c>
      <c r="H34" s="13">
        <v>11927.84</v>
      </c>
      <c r="I34" s="15">
        <v>48.34</v>
      </c>
      <c r="J34" s="14" t="s">
        <v>29</v>
      </c>
      <c r="K34" s="14" t="s">
        <v>29</v>
      </c>
      <c r="L34" s="14" t="s">
        <v>29</v>
      </c>
      <c r="M34" s="14" t="s">
        <v>29</v>
      </c>
      <c r="N34" s="14" t="s">
        <v>29</v>
      </c>
      <c r="O34" s="14" t="s">
        <v>29</v>
      </c>
      <c r="P34" s="14" t="s">
        <v>29</v>
      </c>
      <c r="Q34" s="13">
        <v>78455.820000000007</v>
      </c>
      <c r="R34" s="13">
        <v>11879.5</v>
      </c>
      <c r="S34" s="15">
        <v>48.34</v>
      </c>
    </row>
    <row r="35" spans="1:19" x14ac:dyDescent="0.25">
      <c r="A35" s="9">
        <v>136</v>
      </c>
      <c r="B35" s="10" t="s">
        <v>67</v>
      </c>
      <c r="C35" s="11">
        <v>137</v>
      </c>
      <c r="D35" s="10" t="s">
        <v>68</v>
      </c>
      <c r="E35" s="12">
        <v>1</v>
      </c>
      <c r="F35" s="9">
        <v>1939</v>
      </c>
      <c r="G35" s="13">
        <v>278857.99</v>
      </c>
      <c r="H35" s="13">
        <v>61786.47</v>
      </c>
      <c r="I35" s="15">
        <v>247.55</v>
      </c>
      <c r="J35" s="14" t="s">
        <v>29</v>
      </c>
      <c r="K35" s="14" t="s">
        <v>29</v>
      </c>
      <c r="L35" s="14" t="s">
        <v>29</v>
      </c>
      <c r="M35" s="14" t="s">
        <v>29</v>
      </c>
      <c r="N35" s="14" t="s">
        <v>29</v>
      </c>
      <c r="O35" s="14" t="s">
        <v>29</v>
      </c>
      <c r="P35" s="14" t="s">
        <v>29</v>
      </c>
      <c r="Q35" s="13">
        <v>278857.99</v>
      </c>
      <c r="R35" s="13">
        <v>61538.92</v>
      </c>
      <c r="S35" s="15">
        <v>247.55</v>
      </c>
    </row>
    <row r="36" spans="1:19" x14ac:dyDescent="0.25">
      <c r="A36" s="9">
        <v>140</v>
      </c>
      <c r="B36" s="10" t="s">
        <v>69</v>
      </c>
      <c r="C36" s="11">
        <v>141</v>
      </c>
      <c r="D36" s="10" t="s">
        <v>70</v>
      </c>
      <c r="E36" s="12">
        <v>10</v>
      </c>
      <c r="F36" s="9">
        <v>1939</v>
      </c>
      <c r="G36" s="13">
        <v>46179.22</v>
      </c>
      <c r="H36" s="13">
        <v>7796.7</v>
      </c>
      <c r="I36" s="15">
        <v>34.229999999999997</v>
      </c>
      <c r="J36" s="14" t="s">
        <v>29</v>
      </c>
      <c r="K36" s="14" t="s">
        <v>29</v>
      </c>
      <c r="L36" s="14" t="s">
        <v>29</v>
      </c>
      <c r="M36" s="14" t="s">
        <v>29</v>
      </c>
      <c r="N36" s="14" t="s">
        <v>29</v>
      </c>
      <c r="O36" s="14" t="s">
        <v>29</v>
      </c>
      <c r="P36" s="14" t="s">
        <v>29</v>
      </c>
      <c r="Q36" s="13">
        <v>46179.22</v>
      </c>
      <c r="R36" s="13">
        <v>7762.47</v>
      </c>
      <c r="S36" s="15">
        <v>34.229999999999997</v>
      </c>
    </row>
    <row r="37" spans="1:19" x14ac:dyDescent="0.25">
      <c r="A37" s="9">
        <v>150</v>
      </c>
      <c r="B37" s="10" t="s">
        <v>71</v>
      </c>
      <c r="C37" s="11">
        <v>151</v>
      </c>
      <c r="D37" s="10" t="s">
        <v>33</v>
      </c>
      <c r="E37" s="12">
        <v>8</v>
      </c>
      <c r="F37" s="9">
        <v>1939</v>
      </c>
      <c r="G37" s="13">
        <v>97347.06</v>
      </c>
      <c r="H37" s="13">
        <v>18379.5</v>
      </c>
      <c r="I37" s="15">
        <v>75.599999999999994</v>
      </c>
      <c r="J37" s="14" t="s">
        <v>29</v>
      </c>
      <c r="K37" s="14" t="s">
        <v>29</v>
      </c>
      <c r="L37" s="14" t="s">
        <v>29</v>
      </c>
      <c r="M37" s="14" t="s">
        <v>29</v>
      </c>
      <c r="N37" s="14" t="s">
        <v>29</v>
      </c>
      <c r="O37" s="14" t="s">
        <v>29</v>
      </c>
      <c r="P37" s="14" t="s">
        <v>29</v>
      </c>
      <c r="Q37" s="13">
        <v>97347.06</v>
      </c>
      <c r="R37" s="13">
        <v>18303.900000000001</v>
      </c>
      <c r="S37" s="15">
        <v>75.599999999999994</v>
      </c>
    </row>
    <row r="38" spans="1:19" x14ac:dyDescent="0.25">
      <c r="A38" s="9">
        <v>154</v>
      </c>
      <c r="B38" s="10" t="s">
        <v>72</v>
      </c>
      <c r="C38" s="11">
        <v>155</v>
      </c>
      <c r="D38" s="10" t="s">
        <v>73</v>
      </c>
      <c r="E38" s="12">
        <v>80</v>
      </c>
      <c r="F38" s="9">
        <v>1939</v>
      </c>
      <c r="G38" s="13">
        <v>63622.41</v>
      </c>
      <c r="H38" s="13">
        <v>9713.34</v>
      </c>
      <c r="I38" s="15">
        <v>46.02</v>
      </c>
      <c r="J38" s="14" t="s">
        <v>29</v>
      </c>
      <c r="K38" s="14" t="s">
        <v>29</v>
      </c>
      <c r="L38" s="14" t="s">
        <v>29</v>
      </c>
      <c r="M38" s="14" t="s">
        <v>29</v>
      </c>
      <c r="N38" s="14" t="s">
        <v>29</v>
      </c>
      <c r="O38" s="14" t="s">
        <v>29</v>
      </c>
      <c r="P38" s="14" t="s">
        <v>29</v>
      </c>
      <c r="Q38" s="13">
        <v>63622.41</v>
      </c>
      <c r="R38" s="13">
        <v>9667.32</v>
      </c>
      <c r="S38" s="15">
        <v>46.02</v>
      </c>
    </row>
    <row r="39" spans="1:19" x14ac:dyDescent="0.25">
      <c r="A39" s="9">
        <v>158</v>
      </c>
      <c r="B39" s="10" t="s">
        <v>74</v>
      </c>
      <c r="C39" s="11">
        <v>159</v>
      </c>
      <c r="D39" s="10" t="s">
        <v>75</v>
      </c>
      <c r="E39" s="12">
        <v>20</v>
      </c>
      <c r="F39" s="9">
        <v>1939</v>
      </c>
      <c r="G39" s="13">
        <v>45628.72</v>
      </c>
      <c r="H39" s="13">
        <v>7368.54</v>
      </c>
      <c r="I39" s="15">
        <v>30.09</v>
      </c>
      <c r="J39" s="14" t="s">
        <v>29</v>
      </c>
      <c r="K39" s="14" t="s">
        <v>29</v>
      </c>
      <c r="L39" s="14" t="s">
        <v>29</v>
      </c>
      <c r="M39" s="14" t="s">
        <v>29</v>
      </c>
      <c r="N39" s="14" t="s">
        <v>29</v>
      </c>
      <c r="O39" s="14" t="s">
        <v>29</v>
      </c>
      <c r="P39" s="14" t="s">
        <v>29</v>
      </c>
      <c r="Q39" s="13">
        <v>45628.72</v>
      </c>
      <c r="R39" s="13">
        <v>7338.45</v>
      </c>
      <c r="S39" s="15">
        <v>30.09</v>
      </c>
    </row>
    <row r="40" spans="1:19" x14ac:dyDescent="0.25">
      <c r="A40" s="9">
        <v>163</v>
      </c>
      <c r="B40" s="10" t="s">
        <v>76</v>
      </c>
      <c r="C40" s="11">
        <v>164</v>
      </c>
      <c r="D40" s="10" t="s">
        <v>77</v>
      </c>
      <c r="E40" s="12">
        <v>1</v>
      </c>
      <c r="F40" s="9">
        <v>1939</v>
      </c>
      <c r="G40" s="13">
        <v>88497.8</v>
      </c>
      <c r="H40" s="13">
        <v>16592.310000000001</v>
      </c>
      <c r="I40" s="15">
        <v>68.959999999999994</v>
      </c>
      <c r="J40" s="14" t="s">
        <v>29</v>
      </c>
      <c r="K40" s="14" t="s">
        <v>29</v>
      </c>
      <c r="L40" s="14" t="s">
        <v>29</v>
      </c>
      <c r="M40" s="14" t="s">
        <v>29</v>
      </c>
      <c r="N40" s="14" t="s">
        <v>29</v>
      </c>
      <c r="O40" s="14" t="s">
        <v>29</v>
      </c>
      <c r="P40" s="14" t="s">
        <v>29</v>
      </c>
      <c r="Q40" s="13">
        <v>88497.8</v>
      </c>
      <c r="R40" s="13">
        <v>16523.349999999999</v>
      </c>
      <c r="S40" s="15">
        <v>68.959999999999994</v>
      </c>
    </row>
    <row r="41" spans="1:19" x14ac:dyDescent="0.25">
      <c r="A41" s="9">
        <v>165</v>
      </c>
      <c r="B41" s="10" t="s">
        <v>78</v>
      </c>
      <c r="C41" s="11">
        <v>166</v>
      </c>
      <c r="D41" s="10" t="s">
        <v>77</v>
      </c>
      <c r="E41" s="12">
        <v>12</v>
      </c>
      <c r="F41" s="9">
        <v>1939</v>
      </c>
      <c r="G41" s="13">
        <v>15879.21</v>
      </c>
      <c r="H41" s="13">
        <v>2561.37</v>
      </c>
      <c r="I41" s="15">
        <v>11.02</v>
      </c>
      <c r="J41" s="14" t="s">
        <v>29</v>
      </c>
      <c r="K41" s="14" t="s">
        <v>29</v>
      </c>
      <c r="L41" s="14" t="s">
        <v>29</v>
      </c>
      <c r="M41" s="14" t="s">
        <v>29</v>
      </c>
      <c r="N41" s="14" t="s">
        <v>29</v>
      </c>
      <c r="O41" s="14" t="s">
        <v>29</v>
      </c>
      <c r="P41" s="14" t="s">
        <v>29</v>
      </c>
      <c r="Q41" s="13">
        <v>15879.21</v>
      </c>
      <c r="R41" s="13">
        <v>2550.35</v>
      </c>
      <c r="S41" s="15">
        <v>11.02</v>
      </c>
    </row>
    <row r="42" spans="1:19" x14ac:dyDescent="0.25">
      <c r="A42" s="9">
        <v>168</v>
      </c>
      <c r="B42" s="10" t="s">
        <v>79</v>
      </c>
      <c r="C42" s="11">
        <v>169</v>
      </c>
      <c r="D42" s="10" t="s">
        <v>77</v>
      </c>
      <c r="E42" s="12">
        <v>23</v>
      </c>
      <c r="F42" s="9">
        <v>1939</v>
      </c>
      <c r="G42" s="13">
        <v>300929.31</v>
      </c>
      <c r="H42" s="13">
        <v>92057.88</v>
      </c>
      <c r="I42" s="15">
        <v>372.12</v>
      </c>
      <c r="J42" s="14" t="s">
        <v>29</v>
      </c>
      <c r="K42" s="14" t="s">
        <v>29</v>
      </c>
      <c r="L42" s="14" t="s">
        <v>29</v>
      </c>
      <c r="M42" s="14" t="s">
        <v>29</v>
      </c>
      <c r="N42" s="14" t="s">
        <v>29</v>
      </c>
      <c r="O42" s="14" t="s">
        <v>29</v>
      </c>
      <c r="P42" s="14" t="s">
        <v>29</v>
      </c>
      <c r="Q42" s="13">
        <v>300929.31</v>
      </c>
      <c r="R42" s="13">
        <v>91685.759999999995</v>
      </c>
      <c r="S42" s="15">
        <v>372.12</v>
      </c>
    </row>
    <row r="43" spans="1:19" x14ac:dyDescent="0.25">
      <c r="A43" s="9">
        <v>172</v>
      </c>
      <c r="B43" s="10" t="s">
        <v>80</v>
      </c>
      <c r="C43" s="11">
        <v>173</v>
      </c>
      <c r="D43" s="10" t="s">
        <v>77</v>
      </c>
      <c r="E43" s="12">
        <v>44</v>
      </c>
      <c r="F43" s="9">
        <v>1939</v>
      </c>
      <c r="G43" s="13">
        <v>29714.43</v>
      </c>
      <c r="H43" s="13">
        <v>6667.22</v>
      </c>
      <c r="I43" s="15">
        <v>27.57</v>
      </c>
      <c r="J43" s="14" t="s">
        <v>29</v>
      </c>
      <c r="K43" s="14" t="s">
        <v>29</v>
      </c>
      <c r="L43" s="14" t="s">
        <v>29</v>
      </c>
      <c r="M43" s="14" t="s">
        <v>29</v>
      </c>
      <c r="N43" s="14" t="s">
        <v>29</v>
      </c>
      <c r="O43" s="14" t="s">
        <v>29</v>
      </c>
      <c r="P43" s="14" t="s">
        <v>29</v>
      </c>
      <c r="Q43" s="13">
        <v>29714.43</v>
      </c>
      <c r="R43" s="13">
        <v>6639.65</v>
      </c>
      <c r="S43" s="15">
        <v>27.57</v>
      </c>
    </row>
    <row r="44" spans="1:19" x14ac:dyDescent="0.25">
      <c r="A44" s="9">
        <v>184</v>
      </c>
      <c r="B44" s="10" t="s">
        <v>81</v>
      </c>
      <c r="C44" s="11">
        <v>185</v>
      </c>
      <c r="D44" s="10" t="s">
        <v>33</v>
      </c>
      <c r="E44" s="12">
        <v>59</v>
      </c>
      <c r="F44" s="9">
        <v>1986</v>
      </c>
      <c r="G44" s="13">
        <v>101027.96</v>
      </c>
      <c r="H44" s="13">
        <v>39749.660000000003</v>
      </c>
      <c r="I44" s="15">
        <v>56.15</v>
      </c>
      <c r="J44" s="14" t="s">
        <v>29</v>
      </c>
      <c r="K44" s="14" t="s">
        <v>29</v>
      </c>
      <c r="L44" s="14" t="s">
        <v>29</v>
      </c>
      <c r="M44" s="14" t="s">
        <v>29</v>
      </c>
      <c r="N44" s="14" t="s">
        <v>29</v>
      </c>
      <c r="O44" s="14" t="s">
        <v>29</v>
      </c>
      <c r="P44" s="14" t="s">
        <v>29</v>
      </c>
      <c r="Q44" s="13">
        <v>101027.96</v>
      </c>
      <c r="R44" s="13">
        <v>39693.51</v>
      </c>
      <c r="S44" s="15">
        <v>56.15</v>
      </c>
    </row>
    <row r="45" spans="1:19" x14ac:dyDescent="0.25">
      <c r="A45" s="9">
        <v>188</v>
      </c>
      <c r="B45" s="10" t="s">
        <v>82</v>
      </c>
      <c r="C45" s="11">
        <v>189</v>
      </c>
      <c r="D45" s="10" t="s">
        <v>83</v>
      </c>
      <c r="E45" s="10" t="s">
        <v>84</v>
      </c>
      <c r="F45" s="9">
        <v>1948</v>
      </c>
      <c r="G45" s="13">
        <v>44448.38</v>
      </c>
      <c r="H45" s="13">
        <v>10110.75</v>
      </c>
      <c r="I45" s="15">
        <v>28.19</v>
      </c>
      <c r="J45" s="14" t="s">
        <v>29</v>
      </c>
      <c r="K45" s="14" t="s">
        <v>29</v>
      </c>
      <c r="L45" s="14" t="s">
        <v>29</v>
      </c>
      <c r="M45" s="14" t="s">
        <v>29</v>
      </c>
      <c r="N45" s="14" t="s">
        <v>29</v>
      </c>
      <c r="O45" s="14" t="s">
        <v>29</v>
      </c>
      <c r="P45" s="14" t="s">
        <v>29</v>
      </c>
      <c r="Q45" s="13">
        <v>44448.38</v>
      </c>
      <c r="R45" s="13">
        <v>10082.56</v>
      </c>
      <c r="S45" s="15">
        <v>28.19</v>
      </c>
    </row>
    <row r="46" spans="1:19" x14ac:dyDescent="0.25">
      <c r="A46" s="9">
        <v>189</v>
      </c>
      <c r="B46" s="10" t="s">
        <v>85</v>
      </c>
      <c r="C46" s="11">
        <v>190</v>
      </c>
      <c r="D46" s="10" t="s">
        <v>83</v>
      </c>
      <c r="E46" s="12">
        <v>32</v>
      </c>
      <c r="F46" s="9">
        <v>1939</v>
      </c>
      <c r="G46" s="13">
        <v>78579.98</v>
      </c>
      <c r="H46" s="13">
        <v>21912.75</v>
      </c>
      <c r="I46" s="15">
        <v>92.65</v>
      </c>
      <c r="J46" s="14" t="s">
        <v>29</v>
      </c>
      <c r="K46" s="14" t="s">
        <v>29</v>
      </c>
      <c r="L46" s="14" t="s">
        <v>29</v>
      </c>
      <c r="M46" s="14" t="s">
        <v>29</v>
      </c>
      <c r="N46" s="14" t="s">
        <v>29</v>
      </c>
      <c r="O46" s="14" t="s">
        <v>29</v>
      </c>
      <c r="P46" s="14" t="s">
        <v>29</v>
      </c>
      <c r="Q46" s="13">
        <v>78579.98</v>
      </c>
      <c r="R46" s="13">
        <v>21820.1</v>
      </c>
      <c r="S46" s="15">
        <v>92.65</v>
      </c>
    </row>
    <row r="47" spans="1:19" x14ac:dyDescent="0.25">
      <c r="A47" s="9">
        <v>200</v>
      </c>
      <c r="B47" s="10" t="s">
        <v>86</v>
      </c>
      <c r="C47" s="11">
        <v>201</v>
      </c>
      <c r="D47" s="10" t="s">
        <v>87</v>
      </c>
      <c r="E47" s="12">
        <v>19</v>
      </c>
      <c r="F47" s="9">
        <v>1939</v>
      </c>
      <c r="G47" s="13">
        <v>43534.27</v>
      </c>
      <c r="H47" s="13">
        <v>6747.7</v>
      </c>
      <c r="I47" s="15">
        <v>29.23</v>
      </c>
      <c r="J47" s="14" t="s">
        <v>29</v>
      </c>
      <c r="K47" s="14" t="s">
        <v>29</v>
      </c>
      <c r="L47" s="14" t="s">
        <v>29</v>
      </c>
      <c r="M47" s="14" t="s">
        <v>29</v>
      </c>
      <c r="N47" s="14" t="s">
        <v>29</v>
      </c>
      <c r="O47" s="14" t="s">
        <v>29</v>
      </c>
      <c r="P47" s="14" t="s">
        <v>29</v>
      </c>
      <c r="Q47" s="13">
        <v>43534.27</v>
      </c>
      <c r="R47" s="13">
        <v>6718.47</v>
      </c>
      <c r="S47" s="15">
        <v>29.23</v>
      </c>
    </row>
    <row r="48" spans="1:19" x14ac:dyDescent="0.25">
      <c r="A48" s="9">
        <v>207</v>
      </c>
      <c r="B48" s="10" t="s">
        <v>88</v>
      </c>
      <c r="C48" s="11">
        <v>208</v>
      </c>
      <c r="D48" s="10" t="s">
        <v>89</v>
      </c>
      <c r="E48" s="12">
        <v>40</v>
      </c>
      <c r="F48" s="9">
        <v>1939</v>
      </c>
      <c r="G48" s="13">
        <v>180013.83</v>
      </c>
      <c r="H48" s="13">
        <v>11854.39</v>
      </c>
      <c r="I48" s="15">
        <v>76.69</v>
      </c>
      <c r="J48" s="14" t="s">
        <v>29</v>
      </c>
      <c r="K48" s="14" t="s">
        <v>29</v>
      </c>
      <c r="L48" s="14" t="s">
        <v>29</v>
      </c>
      <c r="M48" s="14" t="s">
        <v>29</v>
      </c>
      <c r="N48" s="14" t="s">
        <v>29</v>
      </c>
      <c r="O48" s="14" t="s">
        <v>29</v>
      </c>
      <c r="P48" s="14" t="s">
        <v>29</v>
      </c>
      <c r="Q48" s="13">
        <v>180013.83</v>
      </c>
      <c r="R48" s="13">
        <v>11777.7</v>
      </c>
      <c r="S48" s="15">
        <v>76.69</v>
      </c>
    </row>
    <row r="49" spans="1:19" x14ac:dyDescent="0.25">
      <c r="A49" s="9">
        <v>212</v>
      </c>
      <c r="B49" s="10" t="s">
        <v>90</v>
      </c>
      <c r="C49" s="11">
        <v>214</v>
      </c>
      <c r="D49" s="10" t="s">
        <v>91</v>
      </c>
      <c r="E49" s="12">
        <v>16</v>
      </c>
      <c r="F49" s="9">
        <v>1939</v>
      </c>
      <c r="G49" s="13">
        <v>103869.53</v>
      </c>
      <c r="H49" s="13">
        <v>10960.22</v>
      </c>
      <c r="I49" s="15">
        <v>72.540000000000006</v>
      </c>
      <c r="J49" s="14" t="s">
        <v>29</v>
      </c>
      <c r="K49" s="14" t="s">
        <v>29</v>
      </c>
      <c r="L49" s="14" t="s">
        <v>29</v>
      </c>
      <c r="M49" s="14" t="s">
        <v>29</v>
      </c>
      <c r="N49" s="14" t="s">
        <v>29</v>
      </c>
      <c r="O49" s="14" t="s">
        <v>29</v>
      </c>
      <c r="P49" s="14" t="s">
        <v>29</v>
      </c>
      <c r="Q49" s="13">
        <v>103869.53</v>
      </c>
      <c r="R49" s="13">
        <v>10887.68</v>
      </c>
      <c r="S49" s="15">
        <v>72.540000000000006</v>
      </c>
    </row>
    <row r="50" spans="1:19" x14ac:dyDescent="0.25">
      <c r="A50" s="9">
        <v>213</v>
      </c>
      <c r="B50" s="10" t="s">
        <v>92</v>
      </c>
      <c r="C50" s="11">
        <v>215</v>
      </c>
      <c r="D50" s="10" t="s">
        <v>73</v>
      </c>
      <c r="E50" s="12">
        <v>54</v>
      </c>
      <c r="F50" s="9">
        <v>1939</v>
      </c>
      <c r="G50" s="13">
        <v>109154.89</v>
      </c>
      <c r="H50" s="13">
        <v>8312.01</v>
      </c>
      <c r="I50" s="15">
        <v>54.51</v>
      </c>
      <c r="J50" s="14" t="s">
        <v>29</v>
      </c>
      <c r="K50" s="14" t="s">
        <v>29</v>
      </c>
      <c r="L50" s="14" t="s">
        <v>29</v>
      </c>
      <c r="M50" s="14" t="s">
        <v>29</v>
      </c>
      <c r="N50" s="14" t="s">
        <v>29</v>
      </c>
      <c r="O50" s="14" t="s">
        <v>29</v>
      </c>
      <c r="P50" s="14" t="s">
        <v>29</v>
      </c>
      <c r="Q50" s="13">
        <v>109154.89</v>
      </c>
      <c r="R50" s="13">
        <v>8257.5</v>
      </c>
      <c r="S50" s="15">
        <v>54.51</v>
      </c>
    </row>
    <row r="51" spans="1:19" x14ac:dyDescent="0.25">
      <c r="A51" s="9">
        <v>215</v>
      </c>
      <c r="B51" s="10" t="s">
        <v>93</v>
      </c>
      <c r="C51" s="11">
        <v>217</v>
      </c>
      <c r="D51" s="10" t="s">
        <v>94</v>
      </c>
      <c r="E51" s="12">
        <v>29</v>
      </c>
      <c r="F51" s="9">
        <v>1939</v>
      </c>
      <c r="G51" s="13">
        <v>15519</v>
      </c>
      <c r="H51" s="13">
        <v>4274.79</v>
      </c>
      <c r="I51" s="15">
        <v>28.17</v>
      </c>
      <c r="J51" s="14" t="s">
        <v>29</v>
      </c>
      <c r="K51" s="14" t="s">
        <v>29</v>
      </c>
      <c r="L51" s="14" t="s">
        <v>29</v>
      </c>
      <c r="M51" s="14" t="s">
        <v>29</v>
      </c>
      <c r="N51" s="14" t="s">
        <v>29</v>
      </c>
      <c r="O51" s="14" t="s">
        <v>29</v>
      </c>
      <c r="P51" s="14" t="s">
        <v>29</v>
      </c>
      <c r="Q51" s="13">
        <v>15519</v>
      </c>
      <c r="R51" s="13">
        <v>4246.62</v>
      </c>
      <c r="S51" s="15">
        <v>28.17</v>
      </c>
    </row>
    <row r="52" spans="1:19" x14ac:dyDescent="0.25">
      <c r="A52" s="9">
        <v>217</v>
      </c>
      <c r="B52" s="10" t="s">
        <v>95</v>
      </c>
      <c r="C52" s="11">
        <v>219</v>
      </c>
      <c r="D52" s="10" t="s">
        <v>96</v>
      </c>
      <c r="E52" s="12">
        <v>16</v>
      </c>
      <c r="F52" s="9">
        <v>1939</v>
      </c>
      <c r="G52" s="13">
        <v>72437.02</v>
      </c>
      <c r="H52" s="13">
        <v>3919.68</v>
      </c>
      <c r="I52" s="15">
        <v>25.4</v>
      </c>
      <c r="J52" s="14" t="s">
        <v>29</v>
      </c>
      <c r="K52" s="14" t="s">
        <v>29</v>
      </c>
      <c r="L52" s="14" t="s">
        <v>29</v>
      </c>
      <c r="M52" s="14" t="s">
        <v>29</v>
      </c>
      <c r="N52" s="14" t="s">
        <v>29</v>
      </c>
      <c r="O52" s="14" t="s">
        <v>29</v>
      </c>
      <c r="P52" s="14" t="s">
        <v>29</v>
      </c>
      <c r="Q52" s="13">
        <v>72437.02</v>
      </c>
      <c r="R52" s="13">
        <v>3894.28</v>
      </c>
      <c r="S52" s="15">
        <v>25.4</v>
      </c>
    </row>
    <row r="53" spans="1:19" x14ac:dyDescent="0.25">
      <c r="A53" s="9">
        <v>227</v>
      </c>
      <c r="B53" s="10" t="s">
        <v>97</v>
      </c>
      <c r="C53" s="11">
        <v>243</v>
      </c>
      <c r="D53" s="10" t="s">
        <v>28</v>
      </c>
      <c r="E53" s="12">
        <v>7</v>
      </c>
      <c r="F53" s="9">
        <v>1901</v>
      </c>
      <c r="G53" s="13">
        <v>3752.55</v>
      </c>
      <c r="H53" s="14" t="s">
        <v>29</v>
      </c>
      <c r="I53" s="14" t="s">
        <v>29</v>
      </c>
      <c r="J53" s="14" t="s">
        <v>29</v>
      </c>
      <c r="K53" s="14" t="s">
        <v>29</v>
      </c>
      <c r="L53" s="14" t="s">
        <v>29</v>
      </c>
      <c r="M53" s="14" t="s">
        <v>29</v>
      </c>
      <c r="N53" s="14" t="s">
        <v>29</v>
      </c>
      <c r="O53" s="14" t="s">
        <v>29</v>
      </c>
      <c r="P53" s="14" t="s">
        <v>29</v>
      </c>
      <c r="Q53" s="13">
        <v>3752.55</v>
      </c>
      <c r="R53" s="14" t="s">
        <v>29</v>
      </c>
      <c r="S53" s="14" t="s">
        <v>29</v>
      </c>
    </row>
    <row r="54" spans="1:19" x14ac:dyDescent="0.25">
      <c r="A54" s="9">
        <v>228</v>
      </c>
      <c r="B54" s="10" t="s">
        <v>98</v>
      </c>
      <c r="C54" s="11">
        <v>247</v>
      </c>
      <c r="D54" s="10" t="s">
        <v>99</v>
      </c>
      <c r="E54" s="10" t="s">
        <v>100</v>
      </c>
      <c r="F54" s="9">
        <v>1939</v>
      </c>
      <c r="G54" s="13">
        <v>241183.04</v>
      </c>
      <c r="H54" s="13">
        <v>153215.16</v>
      </c>
      <c r="I54" s="15">
        <v>992.36</v>
      </c>
      <c r="J54" s="14" t="s">
        <v>29</v>
      </c>
      <c r="K54" s="14" t="s">
        <v>29</v>
      </c>
      <c r="L54" s="14" t="s">
        <v>29</v>
      </c>
      <c r="M54" s="14" t="s">
        <v>29</v>
      </c>
      <c r="N54" s="14" t="s">
        <v>29</v>
      </c>
      <c r="O54" s="14" t="s">
        <v>29</v>
      </c>
      <c r="P54" s="14" t="s">
        <v>29</v>
      </c>
      <c r="Q54" s="13">
        <v>241183.04</v>
      </c>
      <c r="R54" s="13">
        <v>152222.79999999999</v>
      </c>
      <c r="S54" s="15">
        <v>992.36</v>
      </c>
    </row>
    <row r="55" spans="1:19" x14ac:dyDescent="0.25">
      <c r="A55" s="9">
        <v>229</v>
      </c>
      <c r="B55" s="10" t="s">
        <v>101</v>
      </c>
      <c r="C55" s="11">
        <v>249</v>
      </c>
      <c r="D55" s="10" t="s">
        <v>102</v>
      </c>
      <c r="E55" s="12">
        <v>55</v>
      </c>
      <c r="F55" s="9">
        <v>1988</v>
      </c>
      <c r="G55" s="13">
        <v>302340.65000000002</v>
      </c>
      <c r="H55" s="13">
        <v>225595.27</v>
      </c>
      <c r="I55" s="15">
        <v>261.04000000000002</v>
      </c>
      <c r="J55" s="14" t="s">
        <v>29</v>
      </c>
      <c r="K55" s="14" t="s">
        <v>29</v>
      </c>
      <c r="L55" s="14" t="s">
        <v>29</v>
      </c>
      <c r="M55" s="14" t="s">
        <v>29</v>
      </c>
      <c r="N55" s="14" t="s">
        <v>29</v>
      </c>
      <c r="O55" s="14" t="s">
        <v>29</v>
      </c>
      <c r="P55" s="14" t="s">
        <v>29</v>
      </c>
      <c r="Q55" s="13">
        <v>302340.65000000002</v>
      </c>
      <c r="R55" s="13">
        <v>225334.23</v>
      </c>
      <c r="S55" s="15">
        <v>261.04000000000002</v>
      </c>
    </row>
    <row r="56" spans="1:19" x14ac:dyDescent="0.25">
      <c r="A56" s="9">
        <v>231</v>
      </c>
      <c r="B56" s="10" t="s">
        <v>103</v>
      </c>
      <c r="C56" s="11">
        <v>253</v>
      </c>
      <c r="D56" s="10" t="s">
        <v>104</v>
      </c>
      <c r="E56" s="12">
        <v>26</v>
      </c>
      <c r="F56" s="9">
        <v>1983</v>
      </c>
      <c r="G56" s="13">
        <v>153700.56</v>
      </c>
      <c r="H56" s="13">
        <v>59288.32</v>
      </c>
      <c r="I56" s="15">
        <v>83.33</v>
      </c>
      <c r="J56" s="14" t="s">
        <v>29</v>
      </c>
      <c r="K56" s="14" t="s">
        <v>29</v>
      </c>
      <c r="L56" s="14" t="s">
        <v>29</v>
      </c>
      <c r="M56" s="14" t="s">
        <v>29</v>
      </c>
      <c r="N56" s="14" t="s">
        <v>29</v>
      </c>
      <c r="O56" s="14" t="s">
        <v>29</v>
      </c>
      <c r="P56" s="14" t="s">
        <v>29</v>
      </c>
      <c r="Q56" s="13">
        <v>153700.56</v>
      </c>
      <c r="R56" s="13">
        <v>59204.99</v>
      </c>
      <c r="S56" s="15">
        <v>83.33</v>
      </c>
    </row>
    <row r="57" spans="1:19" x14ac:dyDescent="0.25">
      <c r="A57" s="9">
        <v>232</v>
      </c>
      <c r="B57" s="10" t="s">
        <v>105</v>
      </c>
      <c r="C57" s="11">
        <v>254</v>
      </c>
      <c r="D57" s="10" t="s">
        <v>104</v>
      </c>
      <c r="E57" s="12">
        <v>22</v>
      </c>
      <c r="F57" s="9">
        <v>1984</v>
      </c>
      <c r="G57" s="13">
        <v>175382.51</v>
      </c>
      <c r="H57" s="13">
        <v>68925.2</v>
      </c>
      <c r="I57" s="15">
        <v>93.33</v>
      </c>
      <c r="J57" s="14" t="s">
        <v>29</v>
      </c>
      <c r="K57" s="14" t="s">
        <v>29</v>
      </c>
      <c r="L57" s="14" t="s">
        <v>29</v>
      </c>
      <c r="M57" s="14" t="s">
        <v>29</v>
      </c>
      <c r="N57" s="14" t="s">
        <v>29</v>
      </c>
      <c r="O57" s="14" t="s">
        <v>29</v>
      </c>
      <c r="P57" s="14" t="s">
        <v>29</v>
      </c>
      <c r="Q57" s="13">
        <v>175382.51</v>
      </c>
      <c r="R57" s="13">
        <v>68831.87</v>
      </c>
      <c r="S57" s="15">
        <v>93.33</v>
      </c>
    </row>
    <row r="58" spans="1:19" x14ac:dyDescent="0.25">
      <c r="A58" s="9">
        <v>233</v>
      </c>
      <c r="B58" s="10" t="s">
        <v>106</v>
      </c>
      <c r="C58" s="11">
        <v>255</v>
      </c>
      <c r="D58" s="10" t="s">
        <v>107</v>
      </c>
      <c r="E58" s="10" t="s">
        <v>108</v>
      </c>
      <c r="F58" s="9">
        <v>1975</v>
      </c>
      <c r="G58" s="13">
        <v>1794671.82</v>
      </c>
      <c r="H58" s="13">
        <v>698233.29</v>
      </c>
      <c r="I58" s="13">
        <v>1030.77</v>
      </c>
      <c r="J58" s="14" t="s">
        <v>29</v>
      </c>
      <c r="K58" s="14" t="s">
        <v>29</v>
      </c>
      <c r="L58" s="14" t="s">
        <v>29</v>
      </c>
      <c r="M58" s="14" t="s">
        <v>29</v>
      </c>
      <c r="N58" s="14" t="s">
        <v>29</v>
      </c>
      <c r="O58" s="14" t="s">
        <v>29</v>
      </c>
      <c r="P58" s="14" t="s">
        <v>29</v>
      </c>
      <c r="Q58" s="13">
        <v>1794671.82</v>
      </c>
      <c r="R58" s="13">
        <v>697202.52</v>
      </c>
      <c r="S58" s="13">
        <v>1030.77</v>
      </c>
    </row>
    <row r="59" spans="1:19" x14ac:dyDescent="0.25">
      <c r="A59" s="9">
        <v>234</v>
      </c>
      <c r="B59" s="10" t="s">
        <v>109</v>
      </c>
      <c r="C59" s="11">
        <v>256</v>
      </c>
      <c r="D59" s="10" t="s">
        <v>110</v>
      </c>
      <c r="E59" s="12">
        <v>26</v>
      </c>
      <c r="F59" s="9">
        <v>1977</v>
      </c>
      <c r="G59" s="13">
        <v>1619796.94</v>
      </c>
      <c r="H59" s="13">
        <v>639517.31000000006</v>
      </c>
      <c r="I59" s="15">
        <v>911.6</v>
      </c>
      <c r="J59" s="14" t="s">
        <v>29</v>
      </c>
      <c r="K59" s="14" t="s">
        <v>29</v>
      </c>
      <c r="L59" s="14" t="s">
        <v>29</v>
      </c>
      <c r="M59" s="14" t="s">
        <v>29</v>
      </c>
      <c r="N59" s="14" t="s">
        <v>29</v>
      </c>
      <c r="O59" s="14" t="s">
        <v>29</v>
      </c>
      <c r="P59" s="14" t="s">
        <v>29</v>
      </c>
      <c r="Q59" s="13">
        <v>1619796.94</v>
      </c>
      <c r="R59" s="13">
        <v>638605.71</v>
      </c>
      <c r="S59" s="15">
        <v>911.6</v>
      </c>
    </row>
    <row r="60" spans="1:19" x14ac:dyDescent="0.25">
      <c r="A60" s="9">
        <v>235</v>
      </c>
      <c r="B60" s="10" t="s">
        <v>111</v>
      </c>
      <c r="C60" s="11">
        <v>257</v>
      </c>
      <c r="D60" s="10" t="s">
        <v>110</v>
      </c>
      <c r="E60" s="12">
        <v>30</v>
      </c>
      <c r="F60" s="9">
        <v>1977</v>
      </c>
      <c r="G60" s="13">
        <v>859138.53</v>
      </c>
      <c r="H60" s="13">
        <v>336596.02</v>
      </c>
      <c r="I60" s="15">
        <v>481.89</v>
      </c>
      <c r="J60" s="14" t="s">
        <v>29</v>
      </c>
      <c r="K60" s="14" t="s">
        <v>29</v>
      </c>
      <c r="L60" s="14" t="s">
        <v>29</v>
      </c>
      <c r="M60" s="14" t="s">
        <v>29</v>
      </c>
      <c r="N60" s="14" t="s">
        <v>29</v>
      </c>
      <c r="O60" s="14" t="s">
        <v>29</v>
      </c>
      <c r="P60" s="14" t="s">
        <v>29</v>
      </c>
      <c r="Q60" s="13">
        <v>859138.53</v>
      </c>
      <c r="R60" s="13">
        <v>336114.13</v>
      </c>
      <c r="S60" s="15">
        <v>481.89</v>
      </c>
    </row>
    <row r="61" spans="1:19" x14ac:dyDescent="0.25">
      <c r="A61" s="9">
        <v>236</v>
      </c>
      <c r="B61" s="10" t="s">
        <v>112</v>
      </c>
      <c r="C61" s="11">
        <v>258</v>
      </c>
      <c r="D61" s="10" t="s">
        <v>110</v>
      </c>
      <c r="E61" s="12">
        <v>32</v>
      </c>
      <c r="F61" s="9">
        <v>1977</v>
      </c>
      <c r="G61" s="13">
        <v>993252.95</v>
      </c>
      <c r="H61" s="13">
        <v>390939.35</v>
      </c>
      <c r="I61" s="15">
        <v>557.55999999999995</v>
      </c>
      <c r="J61" s="14" t="s">
        <v>29</v>
      </c>
      <c r="K61" s="14" t="s">
        <v>29</v>
      </c>
      <c r="L61" s="14" t="s">
        <v>29</v>
      </c>
      <c r="M61" s="14" t="s">
        <v>29</v>
      </c>
      <c r="N61" s="14" t="s">
        <v>29</v>
      </c>
      <c r="O61" s="14" t="s">
        <v>29</v>
      </c>
      <c r="P61" s="14" t="s">
        <v>29</v>
      </c>
      <c r="Q61" s="13">
        <v>993252.95</v>
      </c>
      <c r="R61" s="13">
        <v>390381.79</v>
      </c>
      <c r="S61" s="15">
        <v>557.55999999999995</v>
      </c>
    </row>
    <row r="62" spans="1:19" x14ac:dyDescent="0.25">
      <c r="A62" s="9">
        <v>237</v>
      </c>
      <c r="B62" s="10" t="s">
        <v>113</v>
      </c>
      <c r="C62" s="11">
        <v>259</v>
      </c>
      <c r="D62" s="10" t="s">
        <v>110</v>
      </c>
      <c r="E62" s="12">
        <v>10</v>
      </c>
      <c r="F62" s="9">
        <v>1982</v>
      </c>
      <c r="G62" s="13">
        <v>392451.15</v>
      </c>
      <c r="H62" s="13">
        <v>157195.4</v>
      </c>
      <c r="I62" s="15">
        <v>211.37</v>
      </c>
      <c r="J62" s="14" t="s">
        <v>29</v>
      </c>
      <c r="K62" s="14" t="s">
        <v>29</v>
      </c>
      <c r="L62" s="14" t="s">
        <v>29</v>
      </c>
      <c r="M62" s="14" t="s">
        <v>29</v>
      </c>
      <c r="N62" s="14" t="s">
        <v>29</v>
      </c>
      <c r="O62" s="14" t="s">
        <v>29</v>
      </c>
      <c r="P62" s="14" t="s">
        <v>29</v>
      </c>
      <c r="Q62" s="13">
        <v>392451.15</v>
      </c>
      <c r="R62" s="13">
        <v>156984.03</v>
      </c>
      <c r="S62" s="15">
        <v>211.37</v>
      </c>
    </row>
    <row r="63" spans="1:19" x14ac:dyDescent="0.25">
      <c r="A63" s="9">
        <v>238</v>
      </c>
      <c r="B63" s="10" t="s">
        <v>114</v>
      </c>
      <c r="C63" s="11">
        <v>260</v>
      </c>
      <c r="D63" s="10" t="s">
        <v>110</v>
      </c>
      <c r="E63" s="12">
        <v>18</v>
      </c>
      <c r="F63" s="9">
        <v>1978</v>
      </c>
      <c r="G63" s="13">
        <v>567005.91</v>
      </c>
      <c r="H63" s="13">
        <v>228912.4</v>
      </c>
      <c r="I63" s="15">
        <v>325.18</v>
      </c>
      <c r="J63" s="14" t="s">
        <v>29</v>
      </c>
      <c r="K63" s="14" t="s">
        <v>29</v>
      </c>
      <c r="L63" s="14" t="s">
        <v>29</v>
      </c>
      <c r="M63" s="14" t="s">
        <v>29</v>
      </c>
      <c r="N63" s="14" t="s">
        <v>29</v>
      </c>
      <c r="O63" s="14" t="s">
        <v>29</v>
      </c>
      <c r="P63" s="14" t="s">
        <v>29</v>
      </c>
      <c r="Q63" s="13">
        <v>567005.91</v>
      </c>
      <c r="R63" s="13">
        <v>228587.22</v>
      </c>
      <c r="S63" s="15">
        <v>325.18</v>
      </c>
    </row>
    <row r="64" spans="1:19" x14ac:dyDescent="0.25">
      <c r="A64" s="9">
        <v>239</v>
      </c>
      <c r="B64" s="10" t="s">
        <v>115</v>
      </c>
      <c r="C64" s="11">
        <v>261</v>
      </c>
      <c r="D64" s="10" t="s">
        <v>110</v>
      </c>
      <c r="E64" s="12">
        <v>40</v>
      </c>
      <c r="F64" s="9">
        <v>1981</v>
      </c>
      <c r="G64" s="13">
        <v>777104.31</v>
      </c>
      <c r="H64" s="13">
        <v>128788.45</v>
      </c>
      <c r="I64" s="15">
        <v>172.07</v>
      </c>
      <c r="J64" s="14" t="s">
        <v>29</v>
      </c>
      <c r="K64" s="14" t="s">
        <v>29</v>
      </c>
      <c r="L64" s="14" t="s">
        <v>29</v>
      </c>
      <c r="M64" s="14" t="s">
        <v>29</v>
      </c>
      <c r="N64" s="14" t="s">
        <v>29</v>
      </c>
      <c r="O64" s="14" t="s">
        <v>29</v>
      </c>
      <c r="P64" s="14" t="s">
        <v>29</v>
      </c>
      <c r="Q64" s="13">
        <v>777104.31</v>
      </c>
      <c r="R64" s="13">
        <v>128616.38</v>
      </c>
      <c r="S64" s="15">
        <v>172.07</v>
      </c>
    </row>
    <row r="65" spans="1:19" x14ac:dyDescent="0.25">
      <c r="A65" s="9">
        <v>240</v>
      </c>
      <c r="B65" s="10" t="s">
        <v>116</v>
      </c>
      <c r="C65" s="11">
        <v>262</v>
      </c>
      <c r="D65" s="10" t="s">
        <v>110</v>
      </c>
      <c r="E65" s="12">
        <v>36</v>
      </c>
      <c r="F65" s="9">
        <v>1980</v>
      </c>
      <c r="G65" s="13">
        <v>2020540.49</v>
      </c>
      <c r="H65" s="13">
        <v>837470.39</v>
      </c>
      <c r="I65" s="13">
        <v>1141.33</v>
      </c>
      <c r="J65" s="14" t="s">
        <v>29</v>
      </c>
      <c r="K65" s="14" t="s">
        <v>29</v>
      </c>
      <c r="L65" s="14" t="s">
        <v>29</v>
      </c>
      <c r="M65" s="14" t="s">
        <v>29</v>
      </c>
      <c r="N65" s="14" t="s">
        <v>29</v>
      </c>
      <c r="O65" s="14" t="s">
        <v>29</v>
      </c>
      <c r="P65" s="14" t="s">
        <v>29</v>
      </c>
      <c r="Q65" s="13">
        <v>2020540.49</v>
      </c>
      <c r="R65" s="13">
        <v>836329.06</v>
      </c>
      <c r="S65" s="13">
        <v>1141.33</v>
      </c>
    </row>
    <row r="66" spans="1:19" x14ac:dyDescent="0.25">
      <c r="A66" s="9">
        <v>241</v>
      </c>
      <c r="B66" s="10" t="s">
        <v>117</v>
      </c>
      <c r="C66" s="11">
        <v>263</v>
      </c>
      <c r="D66" s="10" t="s">
        <v>110</v>
      </c>
      <c r="E66" s="12">
        <v>34</v>
      </c>
      <c r="F66" s="9">
        <v>1980</v>
      </c>
      <c r="G66" s="13">
        <v>792087.16</v>
      </c>
      <c r="H66" s="13">
        <v>318059.40000000002</v>
      </c>
      <c r="I66" s="15">
        <v>430.73</v>
      </c>
      <c r="J66" s="14" t="s">
        <v>29</v>
      </c>
      <c r="K66" s="14" t="s">
        <v>29</v>
      </c>
      <c r="L66" s="14" t="s">
        <v>29</v>
      </c>
      <c r="M66" s="14" t="s">
        <v>29</v>
      </c>
      <c r="N66" s="14" t="s">
        <v>29</v>
      </c>
      <c r="O66" s="14" t="s">
        <v>29</v>
      </c>
      <c r="P66" s="14" t="s">
        <v>29</v>
      </c>
      <c r="Q66" s="13">
        <v>792087.16</v>
      </c>
      <c r="R66" s="13">
        <v>317628.67</v>
      </c>
      <c r="S66" s="15">
        <v>430.73</v>
      </c>
    </row>
    <row r="67" spans="1:19" x14ac:dyDescent="0.25">
      <c r="A67" s="9">
        <v>242</v>
      </c>
      <c r="B67" s="10" t="s">
        <v>118</v>
      </c>
      <c r="C67" s="11">
        <v>264</v>
      </c>
      <c r="D67" s="10" t="s">
        <v>77</v>
      </c>
      <c r="E67" s="12">
        <v>183</v>
      </c>
      <c r="F67" s="9">
        <v>1985</v>
      </c>
      <c r="G67" s="13">
        <v>327488.56</v>
      </c>
      <c r="H67" s="13">
        <v>139012.79999999999</v>
      </c>
      <c r="I67" s="15">
        <v>185.16</v>
      </c>
      <c r="J67" s="14" t="s">
        <v>29</v>
      </c>
      <c r="K67" s="14" t="s">
        <v>29</v>
      </c>
      <c r="L67" s="14" t="s">
        <v>29</v>
      </c>
      <c r="M67" s="14" t="s">
        <v>29</v>
      </c>
      <c r="N67" s="14" t="s">
        <v>29</v>
      </c>
      <c r="O67" s="14" t="s">
        <v>29</v>
      </c>
      <c r="P67" s="14" t="s">
        <v>29</v>
      </c>
      <c r="Q67" s="13">
        <v>327488.56</v>
      </c>
      <c r="R67" s="13">
        <v>138827.64000000001</v>
      </c>
      <c r="S67" s="15">
        <v>185.16</v>
      </c>
    </row>
    <row r="68" spans="1:19" x14ac:dyDescent="0.25">
      <c r="A68" s="9">
        <v>245</v>
      </c>
      <c r="B68" s="10" t="s">
        <v>119</v>
      </c>
      <c r="C68" s="11">
        <v>267</v>
      </c>
      <c r="D68" s="10" t="s">
        <v>120</v>
      </c>
      <c r="E68" s="12">
        <v>38</v>
      </c>
      <c r="F68" s="9">
        <v>1961</v>
      </c>
      <c r="G68" s="13">
        <v>30697.75</v>
      </c>
      <c r="H68" s="13">
        <v>7411.6</v>
      </c>
      <c r="I68" s="15">
        <v>18.98</v>
      </c>
      <c r="J68" s="14" t="s">
        <v>29</v>
      </c>
      <c r="K68" s="14" t="s">
        <v>29</v>
      </c>
      <c r="L68" s="14" t="s">
        <v>29</v>
      </c>
      <c r="M68" s="14" t="s">
        <v>29</v>
      </c>
      <c r="N68" s="14" t="s">
        <v>29</v>
      </c>
      <c r="O68" s="14" t="s">
        <v>29</v>
      </c>
      <c r="P68" s="14" t="s">
        <v>29</v>
      </c>
      <c r="Q68" s="13">
        <v>30697.75</v>
      </c>
      <c r="R68" s="13">
        <v>7392.62</v>
      </c>
      <c r="S68" s="15">
        <v>18.98</v>
      </c>
    </row>
    <row r="69" spans="1:19" x14ac:dyDescent="0.25">
      <c r="A69" s="9">
        <v>246</v>
      </c>
      <c r="B69" s="10" t="s">
        <v>121</v>
      </c>
      <c r="C69" s="11">
        <v>268</v>
      </c>
      <c r="D69" s="10" t="s">
        <v>120</v>
      </c>
      <c r="E69" s="12">
        <v>40</v>
      </c>
      <c r="F69" s="9">
        <v>1962</v>
      </c>
      <c r="G69" s="13">
        <v>63408.82</v>
      </c>
      <c r="H69" s="13">
        <v>17677.64</v>
      </c>
      <c r="I69" s="15">
        <v>37.64</v>
      </c>
      <c r="J69" s="14" t="s">
        <v>29</v>
      </c>
      <c r="K69" s="14" t="s">
        <v>29</v>
      </c>
      <c r="L69" s="14" t="s">
        <v>29</v>
      </c>
      <c r="M69" s="14" t="s">
        <v>29</v>
      </c>
      <c r="N69" s="14" t="s">
        <v>29</v>
      </c>
      <c r="O69" s="14" t="s">
        <v>29</v>
      </c>
      <c r="P69" s="14" t="s">
        <v>29</v>
      </c>
      <c r="Q69" s="13">
        <v>63408.82</v>
      </c>
      <c r="R69" s="13">
        <v>17640</v>
      </c>
      <c r="S69" s="15">
        <v>37.64</v>
      </c>
    </row>
    <row r="70" spans="1:19" x14ac:dyDescent="0.25">
      <c r="A70" s="9">
        <v>247</v>
      </c>
      <c r="B70" s="10" t="s">
        <v>122</v>
      </c>
      <c r="C70" s="11">
        <v>269</v>
      </c>
      <c r="D70" s="10" t="s">
        <v>120</v>
      </c>
      <c r="E70" s="12">
        <v>42</v>
      </c>
      <c r="F70" s="9">
        <v>1980</v>
      </c>
      <c r="G70" s="13">
        <v>205933.04</v>
      </c>
      <c r="H70" s="13">
        <v>79779.66</v>
      </c>
      <c r="I70" s="15">
        <v>111.79</v>
      </c>
      <c r="J70" s="14" t="s">
        <v>29</v>
      </c>
      <c r="K70" s="14" t="s">
        <v>29</v>
      </c>
      <c r="L70" s="14" t="s">
        <v>29</v>
      </c>
      <c r="M70" s="14" t="s">
        <v>29</v>
      </c>
      <c r="N70" s="14" t="s">
        <v>29</v>
      </c>
      <c r="O70" s="14" t="s">
        <v>29</v>
      </c>
      <c r="P70" s="14" t="s">
        <v>29</v>
      </c>
      <c r="Q70" s="13">
        <v>205933.04</v>
      </c>
      <c r="R70" s="13">
        <v>79667.87</v>
      </c>
      <c r="S70" s="15">
        <v>111.79</v>
      </c>
    </row>
    <row r="71" spans="1:19" x14ac:dyDescent="0.25">
      <c r="A71" s="9">
        <v>248</v>
      </c>
      <c r="B71" s="10" t="s">
        <v>123</v>
      </c>
      <c r="C71" s="11">
        <v>270</v>
      </c>
      <c r="D71" s="10" t="s">
        <v>110</v>
      </c>
      <c r="E71" s="12">
        <v>42</v>
      </c>
      <c r="F71" s="9">
        <v>1986</v>
      </c>
      <c r="G71" s="13">
        <v>2548385.7000000002</v>
      </c>
      <c r="H71" s="13">
        <v>1122453.03</v>
      </c>
      <c r="I71" s="13">
        <v>1388.68</v>
      </c>
      <c r="J71" s="14" t="s">
        <v>29</v>
      </c>
      <c r="K71" s="14" t="s">
        <v>29</v>
      </c>
      <c r="L71" s="14" t="s">
        <v>29</v>
      </c>
      <c r="M71" s="14" t="s">
        <v>29</v>
      </c>
      <c r="N71" s="14" t="s">
        <v>29</v>
      </c>
      <c r="O71" s="14" t="s">
        <v>29</v>
      </c>
      <c r="P71" s="14" t="s">
        <v>29</v>
      </c>
      <c r="Q71" s="13">
        <v>2548385.7000000002</v>
      </c>
      <c r="R71" s="13">
        <v>1121064.3500000001</v>
      </c>
      <c r="S71" s="13">
        <v>1388.68</v>
      </c>
    </row>
    <row r="72" spans="1:19" x14ac:dyDescent="0.25">
      <c r="A72" s="9">
        <v>249</v>
      </c>
      <c r="B72" s="10" t="s">
        <v>124</v>
      </c>
      <c r="C72" s="11">
        <v>271</v>
      </c>
      <c r="D72" s="10" t="s">
        <v>77</v>
      </c>
      <c r="E72" s="12">
        <v>270</v>
      </c>
      <c r="F72" s="9">
        <v>1983</v>
      </c>
      <c r="G72" s="13">
        <v>67196.78</v>
      </c>
      <c r="H72" s="13">
        <v>23575.040000000001</v>
      </c>
      <c r="I72" s="15">
        <v>39.450000000000003</v>
      </c>
      <c r="J72" s="14" t="s">
        <v>29</v>
      </c>
      <c r="K72" s="14" t="s">
        <v>29</v>
      </c>
      <c r="L72" s="14" t="s">
        <v>29</v>
      </c>
      <c r="M72" s="14" t="s">
        <v>29</v>
      </c>
      <c r="N72" s="14" t="s">
        <v>29</v>
      </c>
      <c r="O72" s="14" t="s">
        <v>29</v>
      </c>
      <c r="P72" s="14" t="s">
        <v>29</v>
      </c>
      <c r="Q72" s="13">
        <v>67196.78</v>
      </c>
      <c r="R72" s="13">
        <v>23535.59</v>
      </c>
      <c r="S72" s="15">
        <v>39.450000000000003</v>
      </c>
    </row>
    <row r="73" spans="1:19" x14ac:dyDescent="0.25">
      <c r="A73" s="9">
        <v>251</v>
      </c>
      <c r="B73" s="10" t="s">
        <v>125</v>
      </c>
      <c r="C73" s="11">
        <v>273</v>
      </c>
      <c r="D73" s="10" t="s">
        <v>120</v>
      </c>
      <c r="E73" s="12">
        <v>3</v>
      </c>
      <c r="F73" s="9">
        <v>1976</v>
      </c>
      <c r="G73" s="13">
        <v>111462.15</v>
      </c>
      <c r="H73" s="13">
        <v>42077.57</v>
      </c>
      <c r="I73" s="15">
        <v>65.05</v>
      </c>
      <c r="J73" s="14" t="s">
        <v>29</v>
      </c>
      <c r="K73" s="14" t="s">
        <v>29</v>
      </c>
      <c r="L73" s="14" t="s">
        <v>29</v>
      </c>
      <c r="M73" s="14" t="s">
        <v>29</v>
      </c>
      <c r="N73" s="14" t="s">
        <v>29</v>
      </c>
      <c r="O73" s="14" t="s">
        <v>29</v>
      </c>
      <c r="P73" s="14" t="s">
        <v>29</v>
      </c>
      <c r="Q73" s="13">
        <v>111462.15</v>
      </c>
      <c r="R73" s="13">
        <v>42012.52</v>
      </c>
      <c r="S73" s="15">
        <v>65.05</v>
      </c>
    </row>
    <row r="74" spans="1:19" x14ac:dyDescent="0.25">
      <c r="A74" s="9">
        <v>258</v>
      </c>
      <c r="B74" s="10" t="s">
        <v>126</v>
      </c>
      <c r="C74" s="11">
        <v>280</v>
      </c>
      <c r="D74" s="10" t="s">
        <v>104</v>
      </c>
      <c r="E74" s="12">
        <v>20</v>
      </c>
      <c r="F74" s="9">
        <v>1987</v>
      </c>
      <c r="G74" s="13">
        <v>248331.05</v>
      </c>
      <c r="H74" s="13">
        <v>101067.48</v>
      </c>
      <c r="I74" s="15">
        <v>133.43</v>
      </c>
      <c r="J74" s="14" t="s">
        <v>29</v>
      </c>
      <c r="K74" s="14" t="s">
        <v>29</v>
      </c>
      <c r="L74" s="14" t="s">
        <v>29</v>
      </c>
      <c r="M74" s="14" t="s">
        <v>29</v>
      </c>
      <c r="N74" s="14" t="s">
        <v>29</v>
      </c>
      <c r="O74" s="14" t="s">
        <v>29</v>
      </c>
      <c r="P74" s="14" t="s">
        <v>29</v>
      </c>
      <c r="Q74" s="13">
        <v>248331.05</v>
      </c>
      <c r="R74" s="13">
        <v>100934.05</v>
      </c>
      <c r="S74" s="15">
        <v>133.43</v>
      </c>
    </row>
    <row r="75" spans="1:19" x14ac:dyDescent="0.25">
      <c r="A75" s="9">
        <v>261</v>
      </c>
      <c r="B75" s="10" t="s">
        <v>127</v>
      </c>
      <c r="C75" s="11">
        <v>283</v>
      </c>
      <c r="D75" s="10" t="s">
        <v>128</v>
      </c>
      <c r="E75" s="12">
        <v>36</v>
      </c>
      <c r="F75" s="9">
        <v>1990</v>
      </c>
      <c r="G75" s="13">
        <v>72111.839999999997</v>
      </c>
      <c r="H75" s="13">
        <v>29323.58</v>
      </c>
      <c r="I75" s="15">
        <v>37.770000000000003</v>
      </c>
      <c r="J75" s="14" t="s">
        <v>29</v>
      </c>
      <c r="K75" s="14" t="s">
        <v>29</v>
      </c>
      <c r="L75" s="14" t="s">
        <v>29</v>
      </c>
      <c r="M75" s="14" t="s">
        <v>29</v>
      </c>
      <c r="N75" s="14" t="s">
        <v>29</v>
      </c>
      <c r="O75" s="14" t="s">
        <v>29</v>
      </c>
      <c r="P75" s="14" t="s">
        <v>29</v>
      </c>
      <c r="Q75" s="13">
        <v>72111.839999999997</v>
      </c>
      <c r="R75" s="13">
        <v>29285.81</v>
      </c>
      <c r="S75" s="15">
        <v>37.770000000000003</v>
      </c>
    </row>
    <row r="76" spans="1:19" x14ac:dyDescent="0.25">
      <c r="A76" s="9">
        <v>262</v>
      </c>
      <c r="B76" s="10" t="s">
        <v>129</v>
      </c>
      <c r="C76" s="11">
        <v>284</v>
      </c>
      <c r="D76" s="10" t="s">
        <v>107</v>
      </c>
      <c r="E76" s="12">
        <v>8</v>
      </c>
      <c r="F76" s="9">
        <v>1990</v>
      </c>
      <c r="G76" s="13">
        <v>222292.09</v>
      </c>
      <c r="H76" s="13">
        <v>97727.88</v>
      </c>
      <c r="I76" s="15">
        <v>116.42</v>
      </c>
      <c r="J76" s="14" t="s">
        <v>29</v>
      </c>
      <c r="K76" s="14" t="s">
        <v>29</v>
      </c>
      <c r="L76" s="14" t="s">
        <v>29</v>
      </c>
      <c r="M76" s="14" t="s">
        <v>29</v>
      </c>
      <c r="N76" s="14" t="s">
        <v>29</v>
      </c>
      <c r="O76" s="14" t="s">
        <v>29</v>
      </c>
      <c r="P76" s="14" t="s">
        <v>29</v>
      </c>
      <c r="Q76" s="13">
        <v>222292.09</v>
      </c>
      <c r="R76" s="13">
        <v>97611.46</v>
      </c>
      <c r="S76" s="15">
        <v>116.42</v>
      </c>
    </row>
    <row r="77" spans="1:19" x14ac:dyDescent="0.25">
      <c r="A77" s="9">
        <v>263</v>
      </c>
      <c r="B77" s="10" t="s">
        <v>130</v>
      </c>
      <c r="C77" s="11">
        <v>285</v>
      </c>
      <c r="D77" s="10" t="s">
        <v>77</v>
      </c>
      <c r="E77" s="12">
        <v>272</v>
      </c>
      <c r="F77" s="9">
        <v>1988</v>
      </c>
      <c r="G77" s="13">
        <v>198673.28</v>
      </c>
      <c r="H77" s="13">
        <v>83377.31</v>
      </c>
      <c r="I77" s="15">
        <v>110.14</v>
      </c>
      <c r="J77" s="14" t="s">
        <v>29</v>
      </c>
      <c r="K77" s="14" t="s">
        <v>29</v>
      </c>
      <c r="L77" s="14" t="s">
        <v>29</v>
      </c>
      <c r="M77" s="14" t="s">
        <v>29</v>
      </c>
      <c r="N77" s="14" t="s">
        <v>29</v>
      </c>
      <c r="O77" s="14" t="s">
        <v>29</v>
      </c>
      <c r="P77" s="14" t="s">
        <v>29</v>
      </c>
      <c r="Q77" s="13">
        <v>198673.28</v>
      </c>
      <c r="R77" s="13">
        <v>83267.17</v>
      </c>
      <c r="S77" s="15">
        <v>110.14</v>
      </c>
    </row>
    <row r="78" spans="1:19" x14ac:dyDescent="0.25">
      <c r="A78" s="9">
        <v>264</v>
      </c>
      <c r="B78" s="10" t="s">
        <v>131</v>
      </c>
      <c r="C78" s="11">
        <v>286</v>
      </c>
      <c r="D78" s="10" t="s">
        <v>77</v>
      </c>
      <c r="E78" s="12">
        <v>292</v>
      </c>
      <c r="F78" s="9">
        <v>1991</v>
      </c>
      <c r="G78" s="13">
        <v>128084.47</v>
      </c>
      <c r="H78" s="13">
        <v>57440.47</v>
      </c>
      <c r="I78" s="15">
        <v>68.709999999999994</v>
      </c>
      <c r="J78" s="14" t="s">
        <v>29</v>
      </c>
      <c r="K78" s="14" t="s">
        <v>29</v>
      </c>
      <c r="L78" s="14" t="s">
        <v>29</v>
      </c>
      <c r="M78" s="14" t="s">
        <v>29</v>
      </c>
      <c r="N78" s="14" t="s">
        <v>29</v>
      </c>
      <c r="O78" s="14" t="s">
        <v>29</v>
      </c>
      <c r="P78" s="14" t="s">
        <v>29</v>
      </c>
      <c r="Q78" s="13">
        <v>128084.47</v>
      </c>
      <c r="R78" s="13">
        <v>57371.76</v>
      </c>
      <c r="S78" s="15">
        <v>68.709999999999994</v>
      </c>
    </row>
    <row r="79" spans="1:19" x14ac:dyDescent="0.25">
      <c r="A79" s="9">
        <v>266</v>
      </c>
      <c r="B79" s="10" t="s">
        <v>132</v>
      </c>
      <c r="C79" s="11">
        <v>288</v>
      </c>
      <c r="D79" s="10" t="s">
        <v>77</v>
      </c>
      <c r="E79" s="12">
        <v>298</v>
      </c>
      <c r="F79" s="9">
        <v>1985</v>
      </c>
      <c r="G79" s="13">
        <v>76278.55</v>
      </c>
      <c r="H79" s="13">
        <v>29031.42</v>
      </c>
      <c r="I79" s="15">
        <v>42.42</v>
      </c>
      <c r="J79" s="14" t="s">
        <v>29</v>
      </c>
      <c r="K79" s="14" t="s">
        <v>29</v>
      </c>
      <c r="L79" s="14" t="s">
        <v>29</v>
      </c>
      <c r="M79" s="14" t="s">
        <v>29</v>
      </c>
      <c r="N79" s="14" t="s">
        <v>29</v>
      </c>
      <c r="O79" s="14" t="s">
        <v>29</v>
      </c>
      <c r="P79" s="14" t="s">
        <v>29</v>
      </c>
      <c r="Q79" s="13">
        <v>76278.55</v>
      </c>
      <c r="R79" s="13">
        <v>28989</v>
      </c>
      <c r="S79" s="15">
        <v>42.42</v>
      </c>
    </row>
    <row r="80" spans="1:19" x14ac:dyDescent="0.25">
      <c r="A80" s="9">
        <v>267</v>
      </c>
      <c r="B80" s="10" t="s">
        <v>133</v>
      </c>
      <c r="C80" s="11">
        <v>289</v>
      </c>
      <c r="D80" s="10" t="s">
        <v>77</v>
      </c>
      <c r="E80" s="12">
        <v>250</v>
      </c>
      <c r="F80" s="9">
        <v>1984</v>
      </c>
      <c r="G80" s="13">
        <v>93818.29</v>
      </c>
      <c r="H80" s="13">
        <v>39331.629999999997</v>
      </c>
      <c r="I80" s="15">
        <v>52.8</v>
      </c>
      <c r="J80" s="14" t="s">
        <v>29</v>
      </c>
      <c r="K80" s="14" t="s">
        <v>29</v>
      </c>
      <c r="L80" s="14" t="s">
        <v>29</v>
      </c>
      <c r="M80" s="14" t="s">
        <v>29</v>
      </c>
      <c r="N80" s="14" t="s">
        <v>29</v>
      </c>
      <c r="O80" s="14" t="s">
        <v>29</v>
      </c>
      <c r="P80" s="14" t="s">
        <v>29</v>
      </c>
      <c r="Q80" s="13">
        <v>93818.29</v>
      </c>
      <c r="R80" s="13">
        <v>39278.83</v>
      </c>
      <c r="S80" s="15">
        <v>52.8</v>
      </c>
    </row>
    <row r="81" spans="1:19" x14ac:dyDescent="0.25">
      <c r="A81" s="9">
        <v>268</v>
      </c>
      <c r="B81" s="10" t="s">
        <v>134</v>
      </c>
      <c r="C81" s="11">
        <v>290</v>
      </c>
      <c r="D81" s="10" t="s">
        <v>77</v>
      </c>
      <c r="E81" s="12">
        <v>268</v>
      </c>
      <c r="F81" s="9">
        <v>1987</v>
      </c>
      <c r="G81" s="13">
        <v>145841.09</v>
      </c>
      <c r="H81" s="13">
        <v>59872.37</v>
      </c>
      <c r="I81" s="15">
        <v>79.150000000000006</v>
      </c>
      <c r="J81" s="14" t="s">
        <v>29</v>
      </c>
      <c r="K81" s="14" t="s">
        <v>29</v>
      </c>
      <c r="L81" s="14" t="s">
        <v>29</v>
      </c>
      <c r="M81" s="14" t="s">
        <v>29</v>
      </c>
      <c r="N81" s="14" t="s">
        <v>29</v>
      </c>
      <c r="O81" s="14" t="s">
        <v>29</v>
      </c>
      <c r="P81" s="14" t="s">
        <v>29</v>
      </c>
      <c r="Q81" s="13">
        <v>145841.09</v>
      </c>
      <c r="R81" s="13">
        <v>59793.22</v>
      </c>
      <c r="S81" s="15">
        <v>79.150000000000006</v>
      </c>
    </row>
    <row r="82" spans="1:19" x14ac:dyDescent="0.25">
      <c r="A82" s="9">
        <v>270</v>
      </c>
      <c r="B82" s="10" t="s">
        <v>135</v>
      </c>
      <c r="C82" s="11">
        <v>292</v>
      </c>
      <c r="D82" s="10" t="s">
        <v>77</v>
      </c>
      <c r="E82" s="10" t="s">
        <v>136</v>
      </c>
      <c r="F82" s="9">
        <v>1993</v>
      </c>
      <c r="G82" s="13">
        <v>296259.02</v>
      </c>
      <c r="H82" s="13">
        <v>123002.34</v>
      </c>
      <c r="I82" s="15">
        <v>156.54</v>
      </c>
      <c r="J82" s="14" t="s">
        <v>29</v>
      </c>
      <c r="K82" s="14" t="s">
        <v>29</v>
      </c>
      <c r="L82" s="14" t="s">
        <v>29</v>
      </c>
      <c r="M82" s="14" t="s">
        <v>29</v>
      </c>
      <c r="N82" s="14" t="s">
        <v>29</v>
      </c>
      <c r="O82" s="14" t="s">
        <v>29</v>
      </c>
      <c r="P82" s="14" t="s">
        <v>29</v>
      </c>
      <c r="Q82" s="13">
        <v>296259.02</v>
      </c>
      <c r="R82" s="13">
        <v>122845.8</v>
      </c>
      <c r="S82" s="15">
        <v>156.54</v>
      </c>
    </row>
    <row r="83" spans="1:19" x14ac:dyDescent="0.25">
      <c r="A83" s="9">
        <v>271</v>
      </c>
      <c r="B83" s="10" t="s">
        <v>137</v>
      </c>
      <c r="C83" s="11">
        <v>293</v>
      </c>
      <c r="D83" s="10" t="s">
        <v>138</v>
      </c>
      <c r="E83" s="10" t="s">
        <v>108</v>
      </c>
      <c r="F83" s="9">
        <v>1966</v>
      </c>
      <c r="G83" s="13">
        <v>49591.93</v>
      </c>
      <c r="H83" s="13">
        <v>10163.31</v>
      </c>
      <c r="I83" s="15">
        <v>69.25</v>
      </c>
      <c r="J83" s="14" t="s">
        <v>29</v>
      </c>
      <c r="K83" s="14" t="s">
        <v>29</v>
      </c>
      <c r="L83" s="14" t="s">
        <v>29</v>
      </c>
      <c r="M83" s="14" t="s">
        <v>29</v>
      </c>
      <c r="N83" s="14" t="s">
        <v>29</v>
      </c>
      <c r="O83" s="14" t="s">
        <v>29</v>
      </c>
      <c r="P83" s="14" t="s">
        <v>29</v>
      </c>
      <c r="Q83" s="13">
        <v>49591.93</v>
      </c>
      <c r="R83" s="13">
        <v>10094.06</v>
      </c>
      <c r="S83" s="15">
        <v>69.25</v>
      </c>
    </row>
    <row r="84" spans="1:19" x14ac:dyDescent="0.25">
      <c r="A84" s="9">
        <v>272</v>
      </c>
      <c r="B84" s="10" t="s">
        <v>139</v>
      </c>
      <c r="C84" s="11">
        <v>294</v>
      </c>
      <c r="D84" s="10" t="s">
        <v>99</v>
      </c>
      <c r="E84" s="12">
        <v>9</v>
      </c>
      <c r="F84" s="9">
        <v>1939</v>
      </c>
      <c r="G84" s="13">
        <v>74983.850000000006</v>
      </c>
      <c r="H84" s="13">
        <v>16826.29</v>
      </c>
      <c r="I84" s="15">
        <v>67.95</v>
      </c>
      <c r="J84" s="14" t="s">
        <v>29</v>
      </c>
      <c r="K84" s="14" t="s">
        <v>29</v>
      </c>
      <c r="L84" s="14" t="s">
        <v>29</v>
      </c>
      <c r="M84" s="14" t="s">
        <v>29</v>
      </c>
      <c r="N84" s="14" t="s">
        <v>29</v>
      </c>
      <c r="O84" s="14" t="s">
        <v>29</v>
      </c>
      <c r="P84" s="14" t="s">
        <v>29</v>
      </c>
      <c r="Q84" s="13">
        <v>74983.850000000006</v>
      </c>
      <c r="R84" s="13">
        <v>16758.34</v>
      </c>
      <c r="S84" s="15">
        <v>67.95</v>
      </c>
    </row>
    <row r="85" spans="1:19" x14ac:dyDescent="0.25">
      <c r="A85" s="9">
        <v>274</v>
      </c>
      <c r="B85" s="10" t="s">
        <v>140</v>
      </c>
      <c r="C85" s="11">
        <v>296</v>
      </c>
      <c r="D85" s="10" t="s">
        <v>99</v>
      </c>
      <c r="E85" s="12">
        <v>23</v>
      </c>
      <c r="F85" s="9">
        <v>1939</v>
      </c>
      <c r="G85" s="13">
        <v>345906.98</v>
      </c>
      <c r="H85" s="13">
        <v>48075.49</v>
      </c>
      <c r="I85" s="15">
        <v>192</v>
      </c>
      <c r="J85" s="14" t="s">
        <v>29</v>
      </c>
      <c r="K85" s="14" t="s">
        <v>29</v>
      </c>
      <c r="L85" s="14" t="s">
        <v>29</v>
      </c>
      <c r="M85" s="14" t="s">
        <v>29</v>
      </c>
      <c r="N85" s="14" t="s">
        <v>29</v>
      </c>
      <c r="O85" s="14" t="s">
        <v>29</v>
      </c>
      <c r="P85" s="14" t="s">
        <v>29</v>
      </c>
      <c r="Q85" s="13">
        <v>345906.98</v>
      </c>
      <c r="R85" s="13">
        <v>47883.49</v>
      </c>
      <c r="S85" s="15">
        <v>192</v>
      </c>
    </row>
    <row r="86" spans="1:19" x14ac:dyDescent="0.25">
      <c r="A86" s="9">
        <v>279</v>
      </c>
      <c r="B86" s="10" t="s">
        <v>141</v>
      </c>
      <c r="C86" s="11">
        <v>301</v>
      </c>
      <c r="D86" s="10" t="s">
        <v>104</v>
      </c>
      <c r="E86" s="12">
        <v>15</v>
      </c>
      <c r="F86" s="9">
        <v>1989</v>
      </c>
      <c r="G86" s="13">
        <v>400479.53</v>
      </c>
      <c r="H86" s="13">
        <v>169623.74</v>
      </c>
      <c r="I86" s="15">
        <v>206.85</v>
      </c>
      <c r="J86" s="14" t="s">
        <v>29</v>
      </c>
      <c r="K86" s="14" t="s">
        <v>29</v>
      </c>
      <c r="L86" s="14" t="s">
        <v>29</v>
      </c>
      <c r="M86" s="14" t="s">
        <v>29</v>
      </c>
      <c r="N86" s="14" t="s">
        <v>29</v>
      </c>
      <c r="O86" s="14" t="s">
        <v>29</v>
      </c>
      <c r="P86" s="14" t="s">
        <v>29</v>
      </c>
      <c r="Q86" s="13">
        <v>400479.53</v>
      </c>
      <c r="R86" s="13">
        <v>169416.89</v>
      </c>
      <c r="S86" s="15">
        <v>206.85</v>
      </c>
    </row>
    <row r="87" spans="1:19" x14ac:dyDescent="0.25">
      <c r="A87" s="9">
        <v>280</v>
      </c>
      <c r="B87" s="10" t="s">
        <v>142</v>
      </c>
      <c r="C87" s="11">
        <v>302</v>
      </c>
      <c r="D87" s="10" t="s">
        <v>143</v>
      </c>
      <c r="E87" s="12">
        <v>19</v>
      </c>
      <c r="F87" s="9">
        <v>1900</v>
      </c>
      <c r="G87" s="13">
        <v>118531.94</v>
      </c>
      <c r="H87" s="13">
        <v>14461.49</v>
      </c>
      <c r="I87" s="15">
        <v>93.93</v>
      </c>
      <c r="J87" s="14" t="s">
        <v>29</v>
      </c>
      <c r="K87" s="14" t="s">
        <v>29</v>
      </c>
      <c r="L87" s="14" t="s">
        <v>29</v>
      </c>
      <c r="M87" s="14" t="s">
        <v>29</v>
      </c>
      <c r="N87" s="14" t="s">
        <v>29</v>
      </c>
      <c r="O87" s="14" t="s">
        <v>29</v>
      </c>
      <c r="P87" s="14" t="s">
        <v>29</v>
      </c>
      <c r="Q87" s="13">
        <v>118531.94</v>
      </c>
      <c r="R87" s="13">
        <v>14367.56</v>
      </c>
      <c r="S87" s="15">
        <v>93.93</v>
      </c>
    </row>
    <row r="88" spans="1:19" x14ac:dyDescent="0.25">
      <c r="A88" s="9">
        <v>283</v>
      </c>
      <c r="B88" s="10" t="s">
        <v>144</v>
      </c>
      <c r="C88" s="11">
        <v>305</v>
      </c>
      <c r="D88" s="10" t="s">
        <v>145</v>
      </c>
      <c r="E88" s="12">
        <v>10</v>
      </c>
      <c r="F88" s="9">
        <v>1900</v>
      </c>
      <c r="G88" s="13">
        <v>80008.67</v>
      </c>
      <c r="H88" s="13">
        <v>13194.08</v>
      </c>
      <c r="I88" s="15">
        <v>85.46</v>
      </c>
      <c r="J88" s="14" t="s">
        <v>29</v>
      </c>
      <c r="K88" s="14" t="s">
        <v>29</v>
      </c>
      <c r="L88" s="14" t="s">
        <v>29</v>
      </c>
      <c r="M88" s="14" t="s">
        <v>29</v>
      </c>
      <c r="N88" s="14" t="s">
        <v>29</v>
      </c>
      <c r="O88" s="14" t="s">
        <v>29</v>
      </c>
      <c r="P88" s="14" t="s">
        <v>29</v>
      </c>
      <c r="Q88" s="13">
        <v>80008.67</v>
      </c>
      <c r="R88" s="13">
        <v>13108.62</v>
      </c>
      <c r="S88" s="15">
        <v>85.46</v>
      </c>
    </row>
    <row r="89" spans="1:19" x14ac:dyDescent="0.25">
      <c r="A89" s="9">
        <v>288</v>
      </c>
      <c r="B89" s="10" t="s">
        <v>146</v>
      </c>
      <c r="C89" s="11">
        <v>310</v>
      </c>
      <c r="D89" s="10" t="s">
        <v>120</v>
      </c>
      <c r="E89" s="10" t="s">
        <v>147</v>
      </c>
      <c r="F89" s="9">
        <v>1981</v>
      </c>
      <c r="G89" s="13">
        <v>118502.19</v>
      </c>
      <c r="H89" s="13">
        <v>35687.22</v>
      </c>
      <c r="I89" s="15">
        <v>49.77</v>
      </c>
      <c r="J89" s="14" t="s">
        <v>29</v>
      </c>
      <c r="K89" s="14" t="s">
        <v>29</v>
      </c>
      <c r="L89" s="14" t="s">
        <v>29</v>
      </c>
      <c r="M89" s="14" t="s">
        <v>29</v>
      </c>
      <c r="N89" s="14" t="s">
        <v>29</v>
      </c>
      <c r="O89" s="14" t="s">
        <v>29</v>
      </c>
      <c r="P89" s="14" t="s">
        <v>29</v>
      </c>
      <c r="Q89" s="13">
        <v>118502.19</v>
      </c>
      <c r="R89" s="13">
        <v>35637.449999999997</v>
      </c>
      <c r="S89" s="15">
        <v>49.77</v>
      </c>
    </row>
    <row r="90" spans="1:19" x14ac:dyDescent="0.25">
      <c r="A90" s="9">
        <v>292</v>
      </c>
      <c r="B90" s="10" t="s">
        <v>148</v>
      </c>
      <c r="C90" s="11">
        <v>315</v>
      </c>
      <c r="D90" s="10" t="s">
        <v>77</v>
      </c>
      <c r="E90" s="12">
        <v>215</v>
      </c>
      <c r="F90" s="9">
        <v>1948</v>
      </c>
      <c r="G90" s="13">
        <v>153271.01999999999</v>
      </c>
      <c r="H90" s="14" t="s">
        <v>29</v>
      </c>
      <c r="I90" s="14" t="s">
        <v>29</v>
      </c>
      <c r="J90" s="14" t="s">
        <v>29</v>
      </c>
      <c r="K90" s="14" t="s">
        <v>29</v>
      </c>
      <c r="L90" s="14" t="s">
        <v>29</v>
      </c>
      <c r="M90" s="14" t="s">
        <v>29</v>
      </c>
      <c r="N90" s="14" t="s">
        <v>29</v>
      </c>
      <c r="O90" s="14" t="s">
        <v>29</v>
      </c>
      <c r="P90" s="14" t="s">
        <v>29</v>
      </c>
      <c r="Q90" s="13">
        <v>153271.01999999999</v>
      </c>
      <c r="R90" s="14" t="s">
        <v>29</v>
      </c>
      <c r="S90" s="14" t="s">
        <v>29</v>
      </c>
    </row>
    <row r="91" spans="1:19" x14ac:dyDescent="0.25">
      <c r="A91" s="9">
        <v>293</v>
      </c>
      <c r="B91" s="10" t="s">
        <v>149</v>
      </c>
      <c r="C91" s="11">
        <v>316</v>
      </c>
      <c r="D91" s="10" t="s">
        <v>150</v>
      </c>
      <c r="E91" s="12">
        <v>1</v>
      </c>
      <c r="F91" s="9">
        <v>1948</v>
      </c>
      <c r="G91" s="13">
        <v>86987.16</v>
      </c>
      <c r="H91" s="14" t="s">
        <v>29</v>
      </c>
      <c r="I91" s="14" t="s">
        <v>29</v>
      </c>
      <c r="J91" s="14" t="s">
        <v>29</v>
      </c>
      <c r="K91" s="14" t="s">
        <v>29</v>
      </c>
      <c r="L91" s="14" t="s">
        <v>29</v>
      </c>
      <c r="M91" s="14" t="s">
        <v>29</v>
      </c>
      <c r="N91" s="14" t="s">
        <v>29</v>
      </c>
      <c r="O91" s="14" t="s">
        <v>29</v>
      </c>
      <c r="P91" s="14" t="s">
        <v>29</v>
      </c>
      <c r="Q91" s="13">
        <v>86987.16</v>
      </c>
      <c r="R91" s="14" t="s">
        <v>29</v>
      </c>
      <c r="S91" s="14" t="s">
        <v>29</v>
      </c>
    </row>
    <row r="92" spans="1:19" x14ac:dyDescent="0.25">
      <c r="A92" s="9">
        <v>294</v>
      </c>
      <c r="B92" s="10" t="s">
        <v>151</v>
      </c>
      <c r="C92" s="11">
        <v>317</v>
      </c>
      <c r="D92" s="10" t="s">
        <v>152</v>
      </c>
      <c r="E92" s="12">
        <v>4</v>
      </c>
      <c r="F92" s="9">
        <v>1939</v>
      </c>
      <c r="G92" s="13">
        <v>72538.59</v>
      </c>
      <c r="H92" s="14" t="s">
        <v>29</v>
      </c>
      <c r="I92" s="14" t="s">
        <v>29</v>
      </c>
      <c r="J92" s="14" t="s">
        <v>29</v>
      </c>
      <c r="K92" s="14" t="s">
        <v>29</v>
      </c>
      <c r="L92" s="14" t="s">
        <v>29</v>
      </c>
      <c r="M92" s="14" t="s">
        <v>29</v>
      </c>
      <c r="N92" s="14" t="s">
        <v>29</v>
      </c>
      <c r="O92" s="14" t="s">
        <v>29</v>
      </c>
      <c r="P92" s="14" t="s">
        <v>29</v>
      </c>
      <c r="Q92" s="13">
        <v>72538.59</v>
      </c>
      <c r="R92" s="14" t="s">
        <v>29</v>
      </c>
      <c r="S92" s="14" t="s">
        <v>29</v>
      </c>
    </row>
    <row r="93" spans="1:19" x14ac:dyDescent="0.25">
      <c r="A93" s="9">
        <v>302</v>
      </c>
      <c r="B93" s="10" t="s">
        <v>153</v>
      </c>
      <c r="C93" s="11">
        <v>325</v>
      </c>
      <c r="D93" s="10" t="s">
        <v>154</v>
      </c>
      <c r="E93" s="12">
        <v>6</v>
      </c>
      <c r="F93" s="9">
        <v>1948</v>
      </c>
      <c r="G93" s="13">
        <v>139038.99</v>
      </c>
      <c r="H93" s="14" t="s">
        <v>29</v>
      </c>
      <c r="I93" s="14" t="s">
        <v>29</v>
      </c>
      <c r="J93" s="14" t="s">
        <v>29</v>
      </c>
      <c r="K93" s="14" t="s">
        <v>29</v>
      </c>
      <c r="L93" s="14" t="s">
        <v>29</v>
      </c>
      <c r="M93" s="14" t="s">
        <v>29</v>
      </c>
      <c r="N93" s="14" t="s">
        <v>29</v>
      </c>
      <c r="O93" s="14" t="s">
        <v>29</v>
      </c>
      <c r="P93" s="14" t="s">
        <v>29</v>
      </c>
      <c r="Q93" s="13">
        <v>139038.99</v>
      </c>
      <c r="R93" s="14" t="s">
        <v>29</v>
      </c>
      <c r="S93" s="14" t="s">
        <v>29</v>
      </c>
    </row>
    <row r="94" spans="1:19" x14ac:dyDescent="0.25">
      <c r="A94" s="9">
        <v>303</v>
      </c>
      <c r="B94" s="10" t="s">
        <v>155</v>
      </c>
      <c r="C94" s="11">
        <v>326</v>
      </c>
      <c r="D94" s="10" t="s">
        <v>154</v>
      </c>
      <c r="E94" s="10" t="s">
        <v>156</v>
      </c>
      <c r="F94" s="9">
        <v>1948</v>
      </c>
      <c r="G94" s="13">
        <v>66641.45</v>
      </c>
      <c r="H94" s="14" t="s">
        <v>29</v>
      </c>
      <c r="I94" s="14" t="s">
        <v>29</v>
      </c>
      <c r="J94" s="14" t="s">
        <v>29</v>
      </c>
      <c r="K94" s="14" t="s">
        <v>29</v>
      </c>
      <c r="L94" s="14" t="s">
        <v>29</v>
      </c>
      <c r="M94" s="14" t="s">
        <v>29</v>
      </c>
      <c r="N94" s="14" t="s">
        <v>29</v>
      </c>
      <c r="O94" s="14" t="s">
        <v>29</v>
      </c>
      <c r="P94" s="14" t="s">
        <v>29</v>
      </c>
      <c r="Q94" s="13">
        <v>66641.45</v>
      </c>
      <c r="R94" s="14" t="s">
        <v>29</v>
      </c>
      <c r="S94" s="14" t="s">
        <v>29</v>
      </c>
    </row>
    <row r="95" spans="1:19" x14ac:dyDescent="0.25">
      <c r="A95" s="9">
        <v>307</v>
      </c>
      <c r="B95" s="10" t="s">
        <v>157</v>
      </c>
      <c r="C95" s="11">
        <v>330</v>
      </c>
      <c r="D95" s="10" t="s">
        <v>158</v>
      </c>
      <c r="E95" s="12">
        <v>69</v>
      </c>
      <c r="F95" s="9">
        <v>1969</v>
      </c>
      <c r="G95" s="13">
        <v>383588.97</v>
      </c>
      <c r="H95" s="13">
        <v>38025.980000000003</v>
      </c>
      <c r="I95" s="15">
        <v>246.31</v>
      </c>
      <c r="J95" s="14" t="s">
        <v>29</v>
      </c>
      <c r="K95" s="14" t="s">
        <v>29</v>
      </c>
      <c r="L95" s="14" t="s">
        <v>29</v>
      </c>
      <c r="M95" s="14" t="s">
        <v>29</v>
      </c>
      <c r="N95" s="14" t="s">
        <v>29</v>
      </c>
      <c r="O95" s="14" t="s">
        <v>29</v>
      </c>
      <c r="P95" s="14" t="s">
        <v>29</v>
      </c>
      <c r="Q95" s="13">
        <v>383588.97</v>
      </c>
      <c r="R95" s="13">
        <v>37779.67</v>
      </c>
      <c r="S95" s="15">
        <v>246.31</v>
      </c>
    </row>
    <row r="96" spans="1:19" x14ac:dyDescent="0.25">
      <c r="A96" s="9">
        <v>308</v>
      </c>
      <c r="B96" s="10" t="s">
        <v>159</v>
      </c>
      <c r="C96" s="11">
        <v>331</v>
      </c>
      <c r="D96" s="10" t="s">
        <v>160</v>
      </c>
      <c r="E96" s="12">
        <v>35</v>
      </c>
      <c r="F96" s="9">
        <v>1948</v>
      </c>
      <c r="G96" s="13">
        <v>27982.45</v>
      </c>
      <c r="H96" s="14" t="s">
        <v>29</v>
      </c>
      <c r="I96" s="14" t="s">
        <v>29</v>
      </c>
      <c r="J96" s="14" t="s">
        <v>29</v>
      </c>
      <c r="K96" s="14" t="s">
        <v>29</v>
      </c>
      <c r="L96" s="14" t="s">
        <v>29</v>
      </c>
      <c r="M96" s="14" t="s">
        <v>29</v>
      </c>
      <c r="N96" s="14" t="s">
        <v>29</v>
      </c>
      <c r="O96" s="14" t="s">
        <v>29</v>
      </c>
      <c r="P96" s="14" t="s">
        <v>29</v>
      </c>
      <c r="Q96" s="13">
        <v>27982.45</v>
      </c>
      <c r="R96" s="14" t="s">
        <v>29</v>
      </c>
      <c r="S96" s="14" t="s">
        <v>29</v>
      </c>
    </row>
    <row r="97" spans="1:19" x14ac:dyDescent="0.25">
      <c r="A97" s="9">
        <v>309</v>
      </c>
      <c r="B97" s="10" t="s">
        <v>161</v>
      </c>
      <c r="C97" s="11">
        <v>335</v>
      </c>
      <c r="D97" s="10" t="s">
        <v>120</v>
      </c>
      <c r="E97" s="12">
        <v>15</v>
      </c>
      <c r="F97" s="9">
        <v>1961</v>
      </c>
      <c r="G97" s="13">
        <v>29992.61</v>
      </c>
      <c r="H97" s="13">
        <v>12386.2</v>
      </c>
      <c r="I97" s="15">
        <v>24.24</v>
      </c>
      <c r="J97" s="14" t="s">
        <v>29</v>
      </c>
      <c r="K97" s="14" t="s">
        <v>29</v>
      </c>
      <c r="L97" s="14" t="s">
        <v>29</v>
      </c>
      <c r="M97" s="14" t="s">
        <v>29</v>
      </c>
      <c r="N97" s="14" t="s">
        <v>29</v>
      </c>
      <c r="O97" s="14" t="s">
        <v>29</v>
      </c>
      <c r="P97" s="14" t="s">
        <v>29</v>
      </c>
      <c r="Q97" s="13">
        <v>29992.61</v>
      </c>
      <c r="R97" s="13">
        <v>12361.96</v>
      </c>
      <c r="S97" s="15">
        <v>24.24</v>
      </c>
    </row>
    <row r="98" spans="1:19" x14ac:dyDescent="0.25">
      <c r="A98" s="9">
        <v>319</v>
      </c>
      <c r="B98" s="10" t="s">
        <v>162</v>
      </c>
      <c r="C98" s="11">
        <v>346</v>
      </c>
      <c r="D98" s="10" t="s">
        <v>128</v>
      </c>
      <c r="E98" s="12">
        <v>34</v>
      </c>
      <c r="F98" s="9">
        <v>1993</v>
      </c>
      <c r="G98" s="13">
        <v>3570.96</v>
      </c>
      <c r="H98" s="13">
        <v>1013.14</v>
      </c>
      <c r="I98" s="15">
        <v>1.17</v>
      </c>
      <c r="J98" s="14" t="s">
        <v>29</v>
      </c>
      <c r="K98" s="14" t="s">
        <v>29</v>
      </c>
      <c r="L98" s="14" t="s">
        <v>29</v>
      </c>
      <c r="M98" s="14" t="s">
        <v>29</v>
      </c>
      <c r="N98" s="14" t="s">
        <v>29</v>
      </c>
      <c r="O98" s="14" t="s">
        <v>29</v>
      </c>
      <c r="P98" s="14" t="s">
        <v>29</v>
      </c>
      <c r="Q98" s="13">
        <v>3570.96</v>
      </c>
      <c r="R98" s="13">
        <v>1011.97</v>
      </c>
      <c r="S98" s="15">
        <v>1.17</v>
      </c>
    </row>
    <row r="99" spans="1:19" x14ac:dyDescent="0.25">
      <c r="A99" s="9">
        <v>320</v>
      </c>
      <c r="B99" s="10" t="s">
        <v>163</v>
      </c>
      <c r="C99" s="11">
        <v>347</v>
      </c>
      <c r="D99" s="10" t="s">
        <v>128</v>
      </c>
      <c r="E99" s="10" t="s">
        <v>164</v>
      </c>
      <c r="F99" s="9">
        <v>1994</v>
      </c>
      <c r="G99" s="13">
        <v>53221.1</v>
      </c>
      <c r="H99" s="13">
        <v>21966.1</v>
      </c>
      <c r="I99" s="15">
        <v>25.05</v>
      </c>
      <c r="J99" s="14" t="s">
        <v>29</v>
      </c>
      <c r="K99" s="14" t="s">
        <v>29</v>
      </c>
      <c r="L99" s="14" t="s">
        <v>29</v>
      </c>
      <c r="M99" s="14" t="s">
        <v>29</v>
      </c>
      <c r="N99" s="14" t="s">
        <v>29</v>
      </c>
      <c r="O99" s="14" t="s">
        <v>29</v>
      </c>
      <c r="P99" s="14" t="s">
        <v>29</v>
      </c>
      <c r="Q99" s="13">
        <v>53221.1</v>
      </c>
      <c r="R99" s="13">
        <v>21941.05</v>
      </c>
      <c r="S99" s="15">
        <v>25.05</v>
      </c>
    </row>
    <row r="100" spans="1:19" x14ac:dyDescent="0.25">
      <c r="A100" s="9">
        <v>321</v>
      </c>
      <c r="B100" s="10" t="s">
        <v>165</v>
      </c>
      <c r="C100" s="11">
        <v>348</v>
      </c>
      <c r="D100" s="10" t="s">
        <v>77</v>
      </c>
      <c r="E100" s="12">
        <v>248</v>
      </c>
      <c r="F100" s="9">
        <v>1980</v>
      </c>
      <c r="G100" s="13">
        <v>120179.75</v>
      </c>
      <c r="H100" s="13">
        <v>45743.71</v>
      </c>
      <c r="I100" s="15">
        <v>64.81</v>
      </c>
      <c r="J100" s="14" t="s">
        <v>29</v>
      </c>
      <c r="K100" s="14" t="s">
        <v>29</v>
      </c>
      <c r="L100" s="14" t="s">
        <v>29</v>
      </c>
      <c r="M100" s="14" t="s">
        <v>29</v>
      </c>
      <c r="N100" s="14" t="s">
        <v>29</v>
      </c>
      <c r="O100" s="14" t="s">
        <v>29</v>
      </c>
      <c r="P100" s="14" t="s">
        <v>29</v>
      </c>
      <c r="Q100" s="13">
        <v>120179.75</v>
      </c>
      <c r="R100" s="13">
        <v>45678.9</v>
      </c>
      <c r="S100" s="15">
        <v>64.81</v>
      </c>
    </row>
    <row r="101" spans="1:19" x14ac:dyDescent="0.25">
      <c r="A101" s="9">
        <v>323</v>
      </c>
      <c r="B101" s="10" t="s">
        <v>166</v>
      </c>
      <c r="C101" s="11">
        <v>350</v>
      </c>
      <c r="D101" s="10" t="s">
        <v>167</v>
      </c>
      <c r="E101" s="12">
        <v>12</v>
      </c>
      <c r="F101" s="9">
        <v>1992</v>
      </c>
      <c r="G101" s="13">
        <v>476960.53</v>
      </c>
      <c r="H101" s="13">
        <v>168333.48</v>
      </c>
      <c r="I101" s="15">
        <v>198.46</v>
      </c>
      <c r="J101" s="14" t="s">
        <v>29</v>
      </c>
      <c r="K101" s="14" t="s">
        <v>29</v>
      </c>
      <c r="L101" s="14" t="s">
        <v>29</v>
      </c>
      <c r="M101" s="14" t="s">
        <v>29</v>
      </c>
      <c r="N101" s="14" t="s">
        <v>29</v>
      </c>
      <c r="O101" s="14" t="s">
        <v>29</v>
      </c>
      <c r="P101" s="14" t="s">
        <v>29</v>
      </c>
      <c r="Q101" s="13">
        <v>476960.53</v>
      </c>
      <c r="R101" s="13">
        <v>168135.02</v>
      </c>
      <c r="S101" s="15">
        <v>198.46</v>
      </c>
    </row>
    <row r="102" spans="1:19" x14ac:dyDescent="0.25">
      <c r="A102" s="9">
        <v>327</v>
      </c>
      <c r="B102" s="10" t="s">
        <v>168</v>
      </c>
      <c r="C102" s="11">
        <v>358</v>
      </c>
      <c r="D102" s="10" t="s">
        <v>77</v>
      </c>
      <c r="E102" s="10" t="s">
        <v>169</v>
      </c>
      <c r="F102" s="9">
        <v>1989</v>
      </c>
      <c r="G102" s="13">
        <v>297924.09999999998</v>
      </c>
      <c r="H102" s="13">
        <v>229843.37</v>
      </c>
      <c r="I102" s="15">
        <v>270.27999999999997</v>
      </c>
      <c r="J102" s="14" t="s">
        <v>29</v>
      </c>
      <c r="K102" s="14" t="s">
        <v>29</v>
      </c>
      <c r="L102" s="14" t="s">
        <v>29</v>
      </c>
      <c r="M102" s="14" t="s">
        <v>29</v>
      </c>
      <c r="N102" s="14" t="s">
        <v>29</v>
      </c>
      <c r="O102" s="14" t="s">
        <v>29</v>
      </c>
      <c r="P102" s="14" t="s">
        <v>29</v>
      </c>
      <c r="Q102" s="13">
        <v>297924.09999999998</v>
      </c>
      <c r="R102" s="13">
        <v>229573.09</v>
      </c>
      <c r="S102" s="15">
        <v>270.27999999999997</v>
      </c>
    </row>
    <row r="103" spans="1:19" x14ac:dyDescent="0.25">
      <c r="A103" s="9">
        <v>328</v>
      </c>
      <c r="B103" s="10" t="s">
        <v>170</v>
      </c>
      <c r="C103" s="11">
        <v>359</v>
      </c>
      <c r="D103" s="10" t="s">
        <v>171</v>
      </c>
      <c r="E103" s="12">
        <v>34</v>
      </c>
      <c r="F103" s="9">
        <v>1969</v>
      </c>
      <c r="G103" s="13">
        <v>38725.15</v>
      </c>
      <c r="H103" s="13">
        <v>10984.68</v>
      </c>
      <c r="I103" s="15">
        <v>22.13</v>
      </c>
      <c r="J103" s="14" t="s">
        <v>29</v>
      </c>
      <c r="K103" s="14" t="s">
        <v>29</v>
      </c>
      <c r="L103" s="14" t="s">
        <v>29</v>
      </c>
      <c r="M103" s="14" t="s">
        <v>29</v>
      </c>
      <c r="N103" s="14" t="s">
        <v>29</v>
      </c>
      <c r="O103" s="14" t="s">
        <v>29</v>
      </c>
      <c r="P103" s="14" t="s">
        <v>29</v>
      </c>
      <c r="Q103" s="13">
        <v>38725.15</v>
      </c>
      <c r="R103" s="13">
        <v>10962.55</v>
      </c>
      <c r="S103" s="15">
        <v>22.13</v>
      </c>
    </row>
    <row r="104" spans="1:19" x14ac:dyDescent="0.25">
      <c r="A104" s="9">
        <v>329</v>
      </c>
      <c r="B104" s="10" t="s">
        <v>172</v>
      </c>
      <c r="C104" s="11">
        <v>360</v>
      </c>
      <c r="D104" s="10" t="s">
        <v>171</v>
      </c>
      <c r="E104" s="12">
        <v>27</v>
      </c>
      <c r="F104" s="9">
        <v>1978</v>
      </c>
      <c r="G104" s="13">
        <v>350731.32</v>
      </c>
      <c r="H104" s="13">
        <v>137576.73000000001</v>
      </c>
      <c r="I104" s="15">
        <v>195.24</v>
      </c>
      <c r="J104" s="14" t="s">
        <v>29</v>
      </c>
      <c r="K104" s="14" t="s">
        <v>29</v>
      </c>
      <c r="L104" s="14" t="s">
        <v>29</v>
      </c>
      <c r="M104" s="14" t="s">
        <v>29</v>
      </c>
      <c r="N104" s="14" t="s">
        <v>29</v>
      </c>
      <c r="O104" s="14" t="s">
        <v>29</v>
      </c>
      <c r="P104" s="14" t="s">
        <v>29</v>
      </c>
      <c r="Q104" s="13">
        <v>350731.32</v>
      </c>
      <c r="R104" s="13">
        <v>137381.49</v>
      </c>
      <c r="S104" s="15">
        <v>195.24</v>
      </c>
    </row>
    <row r="105" spans="1:19" x14ac:dyDescent="0.25">
      <c r="A105" s="9">
        <v>330</v>
      </c>
      <c r="B105" s="10" t="s">
        <v>173</v>
      </c>
      <c r="C105" s="11">
        <v>361</v>
      </c>
      <c r="D105" s="10" t="s">
        <v>171</v>
      </c>
      <c r="E105" s="12">
        <v>44</v>
      </c>
      <c r="F105" s="9">
        <v>1966</v>
      </c>
      <c r="G105" s="13">
        <v>367301.61</v>
      </c>
      <c r="H105" s="13">
        <v>114882.36</v>
      </c>
      <c r="I105" s="15">
        <v>204.56</v>
      </c>
      <c r="J105" s="14" t="s">
        <v>29</v>
      </c>
      <c r="K105" s="14" t="s">
        <v>29</v>
      </c>
      <c r="L105" s="14" t="s">
        <v>29</v>
      </c>
      <c r="M105" s="14" t="s">
        <v>29</v>
      </c>
      <c r="N105" s="14" t="s">
        <v>29</v>
      </c>
      <c r="O105" s="14" t="s">
        <v>29</v>
      </c>
      <c r="P105" s="14" t="s">
        <v>29</v>
      </c>
      <c r="Q105" s="13">
        <v>367301.61</v>
      </c>
      <c r="R105" s="13">
        <v>114677.8</v>
      </c>
      <c r="S105" s="15">
        <v>204.56</v>
      </c>
    </row>
    <row r="106" spans="1:19" x14ac:dyDescent="0.25">
      <c r="A106" s="9">
        <v>331</v>
      </c>
      <c r="B106" s="10" t="s">
        <v>174</v>
      </c>
      <c r="C106" s="11">
        <v>362</v>
      </c>
      <c r="D106" s="10" t="s">
        <v>171</v>
      </c>
      <c r="E106" s="12">
        <v>33</v>
      </c>
      <c r="F106" s="9">
        <v>1972</v>
      </c>
      <c r="G106" s="13">
        <v>261588.21</v>
      </c>
      <c r="H106" s="13">
        <v>92188.35</v>
      </c>
      <c r="I106" s="15">
        <v>152.33000000000001</v>
      </c>
      <c r="J106" s="14" t="s">
        <v>29</v>
      </c>
      <c r="K106" s="14" t="s">
        <v>29</v>
      </c>
      <c r="L106" s="14" t="s">
        <v>29</v>
      </c>
      <c r="M106" s="14" t="s">
        <v>29</v>
      </c>
      <c r="N106" s="14" t="s">
        <v>29</v>
      </c>
      <c r="O106" s="14" t="s">
        <v>29</v>
      </c>
      <c r="P106" s="14" t="s">
        <v>29</v>
      </c>
      <c r="Q106" s="13">
        <v>261588.21</v>
      </c>
      <c r="R106" s="13">
        <v>92036.02</v>
      </c>
      <c r="S106" s="15">
        <v>152.33000000000001</v>
      </c>
    </row>
    <row r="107" spans="1:19" x14ac:dyDescent="0.25">
      <c r="A107" s="9">
        <v>336</v>
      </c>
      <c r="B107" s="10" t="s">
        <v>175</v>
      </c>
      <c r="C107" s="11">
        <v>367</v>
      </c>
      <c r="D107" s="10" t="s">
        <v>176</v>
      </c>
      <c r="E107" s="12">
        <v>2</v>
      </c>
      <c r="F107" s="9">
        <v>1979</v>
      </c>
      <c r="G107" s="13">
        <v>1244471.74</v>
      </c>
      <c r="H107" s="13">
        <v>507655.51</v>
      </c>
      <c r="I107" s="15">
        <v>698.59</v>
      </c>
      <c r="J107" s="14" t="s">
        <v>29</v>
      </c>
      <c r="K107" s="14" t="s">
        <v>29</v>
      </c>
      <c r="L107" s="14" t="s">
        <v>29</v>
      </c>
      <c r="M107" s="14" t="s">
        <v>29</v>
      </c>
      <c r="N107" s="14" t="s">
        <v>29</v>
      </c>
      <c r="O107" s="14" t="s">
        <v>29</v>
      </c>
      <c r="P107" s="14" t="s">
        <v>29</v>
      </c>
      <c r="Q107" s="13">
        <v>1244471.74</v>
      </c>
      <c r="R107" s="13">
        <v>506956.92</v>
      </c>
      <c r="S107" s="15">
        <v>698.59</v>
      </c>
    </row>
    <row r="108" spans="1:19" x14ac:dyDescent="0.25">
      <c r="A108" s="9">
        <v>338</v>
      </c>
      <c r="B108" s="10" t="s">
        <v>177</v>
      </c>
      <c r="C108" s="11">
        <v>369</v>
      </c>
      <c r="D108" s="10" t="s">
        <v>176</v>
      </c>
      <c r="E108" s="12">
        <v>20</v>
      </c>
      <c r="F108" s="9">
        <v>1964</v>
      </c>
      <c r="G108" s="13">
        <v>276801.02</v>
      </c>
      <c r="H108" s="13">
        <v>81513.81</v>
      </c>
      <c r="I108" s="15">
        <v>154.34</v>
      </c>
      <c r="J108" s="14" t="s">
        <v>29</v>
      </c>
      <c r="K108" s="14" t="s">
        <v>29</v>
      </c>
      <c r="L108" s="14" t="s">
        <v>29</v>
      </c>
      <c r="M108" s="14" t="s">
        <v>29</v>
      </c>
      <c r="N108" s="14" t="s">
        <v>29</v>
      </c>
      <c r="O108" s="14" t="s">
        <v>29</v>
      </c>
      <c r="P108" s="14" t="s">
        <v>29</v>
      </c>
      <c r="Q108" s="13">
        <v>276801.02</v>
      </c>
      <c r="R108" s="13">
        <v>81359.47</v>
      </c>
      <c r="S108" s="15">
        <v>154.34</v>
      </c>
    </row>
    <row r="109" spans="1:19" x14ac:dyDescent="0.25">
      <c r="A109" s="9">
        <v>339</v>
      </c>
      <c r="B109" s="10" t="s">
        <v>178</v>
      </c>
      <c r="C109" s="11">
        <v>370</v>
      </c>
      <c r="D109" s="10" t="s">
        <v>176</v>
      </c>
      <c r="E109" s="12">
        <v>22</v>
      </c>
      <c r="F109" s="9">
        <v>1963</v>
      </c>
      <c r="G109" s="13">
        <v>124089.84</v>
      </c>
      <c r="H109" s="13">
        <v>35939.160000000003</v>
      </c>
      <c r="I109" s="15">
        <v>72.77</v>
      </c>
      <c r="J109" s="14" t="s">
        <v>29</v>
      </c>
      <c r="K109" s="14" t="s">
        <v>29</v>
      </c>
      <c r="L109" s="14" t="s">
        <v>29</v>
      </c>
      <c r="M109" s="14" t="s">
        <v>29</v>
      </c>
      <c r="N109" s="14" t="s">
        <v>29</v>
      </c>
      <c r="O109" s="14" t="s">
        <v>29</v>
      </c>
      <c r="P109" s="14" t="s">
        <v>29</v>
      </c>
      <c r="Q109" s="13">
        <v>124089.84</v>
      </c>
      <c r="R109" s="13">
        <v>35866.39</v>
      </c>
      <c r="S109" s="15">
        <v>72.77</v>
      </c>
    </row>
    <row r="110" spans="1:19" x14ac:dyDescent="0.25">
      <c r="A110" s="9">
        <v>340</v>
      </c>
      <c r="B110" s="10" t="s">
        <v>179</v>
      </c>
      <c r="C110" s="11">
        <v>371</v>
      </c>
      <c r="D110" s="10" t="s">
        <v>176</v>
      </c>
      <c r="E110" s="12">
        <v>26</v>
      </c>
      <c r="F110" s="9">
        <v>1961</v>
      </c>
      <c r="G110" s="13">
        <v>78301.52</v>
      </c>
      <c r="H110" s="13">
        <v>22258.15</v>
      </c>
      <c r="I110" s="15">
        <v>145.86000000000001</v>
      </c>
      <c r="J110" s="14" t="s">
        <v>29</v>
      </c>
      <c r="K110" s="14" t="s">
        <v>29</v>
      </c>
      <c r="L110" s="14" t="s">
        <v>29</v>
      </c>
      <c r="M110" s="14" t="s">
        <v>29</v>
      </c>
      <c r="N110" s="14" t="s">
        <v>29</v>
      </c>
      <c r="O110" s="14" t="s">
        <v>29</v>
      </c>
      <c r="P110" s="14" t="s">
        <v>29</v>
      </c>
      <c r="Q110" s="13">
        <v>78301.52</v>
      </c>
      <c r="R110" s="13">
        <v>22112.29</v>
      </c>
      <c r="S110" s="15">
        <v>145.86000000000001</v>
      </c>
    </row>
    <row r="111" spans="1:19" x14ac:dyDescent="0.25">
      <c r="A111" s="9">
        <v>341</v>
      </c>
      <c r="B111" s="10" t="s">
        <v>180</v>
      </c>
      <c r="C111" s="11">
        <v>372</v>
      </c>
      <c r="D111" s="10" t="s">
        <v>176</v>
      </c>
      <c r="E111" s="12">
        <v>30</v>
      </c>
      <c r="F111" s="9">
        <v>1967</v>
      </c>
      <c r="G111" s="13">
        <v>62517.59</v>
      </c>
      <c r="H111" s="13">
        <v>17790.8</v>
      </c>
      <c r="I111" s="15">
        <v>35.6</v>
      </c>
      <c r="J111" s="14" t="s">
        <v>29</v>
      </c>
      <c r="K111" s="14" t="s">
        <v>29</v>
      </c>
      <c r="L111" s="14" t="s">
        <v>29</v>
      </c>
      <c r="M111" s="14" t="s">
        <v>29</v>
      </c>
      <c r="N111" s="14" t="s">
        <v>29</v>
      </c>
      <c r="O111" s="14" t="s">
        <v>29</v>
      </c>
      <c r="P111" s="14" t="s">
        <v>29</v>
      </c>
      <c r="Q111" s="13">
        <v>62517.59</v>
      </c>
      <c r="R111" s="13">
        <v>17755.2</v>
      </c>
      <c r="S111" s="15">
        <v>35.6</v>
      </c>
    </row>
    <row r="112" spans="1:19" x14ac:dyDescent="0.25">
      <c r="A112" s="9">
        <v>342</v>
      </c>
      <c r="B112" s="10" t="s">
        <v>181</v>
      </c>
      <c r="C112" s="11">
        <v>373</v>
      </c>
      <c r="D112" s="10" t="s">
        <v>176</v>
      </c>
      <c r="E112" s="12">
        <v>32</v>
      </c>
      <c r="F112" s="9">
        <v>1967</v>
      </c>
      <c r="G112" s="13">
        <v>118181.84</v>
      </c>
      <c r="H112" s="13">
        <v>35728.61</v>
      </c>
      <c r="I112" s="15">
        <v>67.22</v>
      </c>
      <c r="J112" s="14" t="s">
        <v>29</v>
      </c>
      <c r="K112" s="14" t="s">
        <v>29</v>
      </c>
      <c r="L112" s="14" t="s">
        <v>29</v>
      </c>
      <c r="M112" s="14" t="s">
        <v>29</v>
      </c>
      <c r="N112" s="14" t="s">
        <v>29</v>
      </c>
      <c r="O112" s="14" t="s">
        <v>29</v>
      </c>
      <c r="P112" s="14" t="s">
        <v>29</v>
      </c>
      <c r="Q112" s="13">
        <v>118181.84</v>
      </c>
      <c r="R112" s="13">
        <v>35661.39</v>
      </c>
      <c r="S112" s="15">
        <v>67.22</v>
      </c>
    </row>
    <row r="113" spans="1:19" x14ac:dyDescent="0.25">
      <c r="A113" s="9">
        <v>343</v>
      </c>
      <c r="B113" s="10" t="s">
        <v>182</v>
      </c>
      <c r="C113" s="11">
        <v>374</v>
      </c>
      <c r="D113" s="10" t="s">
        <v>176</v>
      </c>
      <c r="E113" s="12">
        <v>34</v>
      </c>
      <c r="F113" s="9">
        <v>1968</v>
      </c>
      <c r="G113" s="13">
        <v>74434.77</v>
      </c>
      <c r="H113" s="13">
        <v>22126.36</v>
      </c>
      <c r="I113" s="15">
        <v>42.6</v>
      </c>
      <c r="J113" s="14" t="s">
        <v>29</v>
      </c>
      <c r="K113" s="14" t="s">
        <v>29</v>
      </c>
      <c r="L113" s="14" t="s">
        <v>29</v>
      </c>
      <c r="M113" s="14" t="s">
        <v>29</v>
      </c>
      <c r="N113" s="14" t="s">
        <v>29</v>
      </c>
      <c r="O113" s="14" t="s">
        <v>29</v>
      </c>
      <c r="P113" s="14" t="s">
        <v>29</v>
      </c>
      <c r="Q113" s="13">
        <v>74434.77</v>
      </c>
      <c r="R113" s="13">
        <v>22083.759999999998</v>
      </c>
      <c r="S113" s="15">
        <v>42.6</v>
      </c>
    </row>
    <row r="114" spans="1:19" x14ac:dyDescent="0.25">
      <c r="A114" s="9">
        <v>345</v>
      </c>
      <c r="B114" s="10" t="s">
        <v>183</v>
      </c>
      <c r="C114" s="11">
        <v>376</v>
      </c>
      <c r="D114" s="10" t="s">
        <v>176</v>
      </c>
      <c r="E114" s="12">
        <v>38</v>
      </c>
      <c r="F114" s="9">
        <v>1969</v>
      </c>
      <c r="G114" s="13">
        <v>64065.3</v>
      </c>
      <c r="H114" s="13">
        <v>19184.060000000001</v>
      </c>
      <c r="I114" s="15">
        <v>36.53</v>
      </c>
      <c r="J114" s="14" t="s">
        <v>29</v>
      </c>
      <c r="K114" s="14" t="s">
        <v>29</v>
      </c>
      <c r="L114" s="14" t="s">
        <v>29</v>
      </c>
      <c r="M114" s="14" t="s">
        <v>29</v>
      </c>
      <c r="N114" s="14" t="s">
        <v>29</v>
      </c>
      <c r="O114" s="14" t="s">
        <v>29</v>
      </c>
      <c r="P114" s="14" t="s">
        <v>29</v>
      </c>
      <c r="Q114" s="13">
        <v>64065.3</v>
      </c>
      <c r="R114" s="13">
        <v>19147.53</v>
      </c>
      <c r="S114" s="15">
        <v>36.53</v>
      </c>
    </row>
    <row r="115" spans="1:19" x14ac:dyDescent="0.25">
      <c r="A115" s="9">
        <v>346</v>
      </c>
      <c r="B115" s="10" t="s">
        <v>184</v>
      </c>
      <c r="C115" s="11">
        <v>377</v>
      </c>
      <c r="D115" s="10" t="s">
        <v>185</v>
      </c>
      <c r="E115" s="12">
        <v>39</v>
      </c>
      <c r="F115" s="9">
        <v>1963</v>
      </c>
      <c r="G115" s="13">
        <v>140970.22</v>
      </c>
      <c r="H115" s="13">
        <v>47936.42</v>
      </c>
      <c r="I115" s="15">
        <v>90.21</v>
      </c>
      <c r="J115" s="14" t="s">
        <v>29</v>
      </c>
      <c r="K115" s="14" t="s">
        <v>29</v>
      </c>
      <c r="L115" s="14" t="s">
        <v>29</v>
      </c>
      <c r="M115" s="14" t="s">
        <v>29</v>
      </c>
      <c r="N115" s="14" t="s">
        <v>29</v>
      </c>
      <c r="O115" s="14" t="s">
        <v>29</v>
      </c>
      <c r="P115" s="14" t="s">
        <v>29</v>
      </c>
      <c r="Q115" s="13">
        <v>140970.22</v>
      </c>
      <c r="R115" s="13">
        <v>47846.21</v>
      </c>
      <c r="S115" s="15">
        <v>90.21</v>
      </c>
    </row>
    <row r="116" spans="1:19" x14ac:dyDescent="0.25">
      <c r="A116" s="9">
        <v>347</v>
      </c>
      <c r="B116" s="10" t="s">
        <v>186</v>
      </c>
      <c r="C116" s="11">
        <v>378</v>
      </c>
      <c r="D116" s="10" t="s">
        <v>185</v>
      </c>
      <c r="E116" s="12">
        <v>41</v>
      </c>
      <c r="F116" s="9">
        <v>1962</v>
      </c>
      <c r="G116" s="13">
        <v>150370.99</v>
      </c>
      <c r="H116" s="13">
        <v>49534.81</v>
      </c>
      <c r="I116" s="15">
        <v>96.1</v>
      </c>
      <c r="J116" s="14" t="s">
        <v>29</v>
      </c>
      <c r="K116" s="14" t="s">
        <v>29</v>
      </c>
      <c r="L116" s="14" t="s">
        <v>29</v>
      </c>
      <c r="M116" s="14" t="s">
        <v>29</v>
      </c>
      <c r="N116" s="14" t="s">
        <v>29</v>
      </c>
      <c r="O116" s="14" t="s">
        <v>29</v>
      </c>
      <c r="P116" s="14" t="s">
        <v>29</v>
      </c>
      <c r="Q116" s="13">
        <v>150370.99</v>
      </c>
      <c r="R116" s="13">
        <v>49438.71</v>
      </c>
      <c r="S116" s="15">
        <v>96.1</v>
      </c>
    </row>
    <row r="117" spans="1:19" x14ac:dyDescent="0.25">
      <c r="A117" s="9">
        <v>350</v>
      </c>
      <c r="B117" s="10" t="s">
        <v>187</v>
      </c>
      <c r="C117" s="11">
        <v>381</v>
      </c>
      <c r="D117" s="10" t="s">
        <v>171</v>
      </c>
      <c r="E117" s="12">
        <v>29</v>
      </c>
      <c r="F117" s="9">
        <v>1980</v>
      </c>
      <c r="G117" s="13">
        <v>393338.6</v>
      </c>
      <c r="H117" s="13">
        <v>158486.09</v>
      </c>
      <c r="I117" s="15">
        <v>216.1</v>
      </c>
      <c r="J117" s="14" t="s">
        <v>29</v>
      </c>
      <c r="K117" s="14" t="s">
        <v>29</v>
      </c>
      <c r="L117" s="14" t="s">
        <v>29</v>
      </c>
      <c r="M117" s="14" t="s">
        <v>29</v>
      </c>
      <c r="N117" s="14" t="s">
        <v>29</v>
      </c>
      <c r="O117" s="14" t="s">
        <v>29</v>
      </c>
      <c r="P117" s="14" t="s">
        <v>29</v>
      </c>
      <c r="Q117" s="13">
        <v>393338.6</v>
      </c>
      <c r="R117" s="13">
        <v>158269.99</v>
      </c>
      <c r="S117" s="15">
        <v>216.1</v>
      </c>
    </row>
    <row r="118" spans="1:19" x14ac:dyDescent="0.25">
      <c r="A118" s="9">
        <v>351</v>
      </c>
      <c r="B118" s="10" t="s">
        <v>188</v>
      </c>
      <c r="C118" s="11">
        <v>382</v>
      </c>
      <c r="D118" s="10" t="s">
        <v>189</v>
      </c>
      <c r="E118" s="12">
        <v>14</v>
      </c>
      <c r="F118" s="9">
        <v>1976</v>
      </c>
      <c r="G118" s="13">
        <v>710009.39</v>
      </c>
      <c r="H118" s="13">
        <v>297826.14</v>
      </c>
      <c r="I118" s="15">
        <v>432.52</v>
      </c>
      <c r="J118" s="14" t="s">
        <v>29</v>
      </c>
      <c r="K118" s="14" t="s">
        <v>29</v>
      </c>
      <c r="L118" s="14" t="s">
        <v>29</v>
      </c>
      <c r="M118" s="14" t="s">
        <v>29</v>
      </c>
      <c r="N118" s="14" t="s">
        <v>29</v>
      </c>
      <c r="O118" s="14" t="s">
        <v>29</v>
      </c>
      <c r="P118" s="14" t="s">
        <v>29</v>
      </c>
      <c r="Q118" s="13">
        <v>710009.39</v>
      </c>
      <c r="R118" s="13">
        <v>297393.62</v>
      </c>
      <c r="S118" s="15">
        <v>432.52</v>
      </c>
    </row>
    <row r="119" spans="1:19" x14ac:dyDescent="0.25">
      <c r="A119" s="9">
        <v>352</v>
      </c>
      <c r="B119" s="10" t="s">
        <v>190</v>
      </c>
      <c r="C119" s="11">
        <v>383</v>
      </c>
      <c r="D119" s="10" t="s">
        <v>189</v>
      </c>
      <c r="E119" s="12">
        <v>16</v>
      </c>
      <c r="F119" s="9">
        <v>1984</v>
      </c>
      <c r="G119" s="13">
        <v>1026323.81</v>
      </c>
      <c r="H119" s="13">
        <v>441136.33</v>
      </c>
      <c r="I119" s="15">
        <v>562.16999999999996</v>
      </c>
      <c r="J119" s="14" t="s">
        <v>29</v>
      </c>
      <c r="K119" s="14" t="s">
        <v>29</v>
      </c>
      <c r="L119" s="14" t="s">
        <v>29</v>
      </c>
      <c r="M119" s="14" t="s">
        <v>29</v>
      </c>
      <c r="N119" s="14" t="s">
        <v>29</v>
      </c>
      <c r="O119" s="14" t="s">
        <v>29</v>
      </c>
      <c r="P119" s="14" t="s">
        <v>29</v>
      </c>
      <c r="Q119" s="13">
        <v>1026323.81</v>
      </c>
      <c r="R119" s="13">
        <v>440574.16</v>
      </c>
      <c r="S119" s="15">
        <v>562.16999999999996</v>
      </c>
    </row>
    <row r="120" spans="1:19" x14ac:dyDescent="0.25">
      <c r="A120" s="9">
        <v>353</v>
      </c>
      <c r="B120" s="10" t="s">
        <v>191</v>
      </c>
      <c r="C120" s="11">
        <v>384</v>
      </c>
      <c r="D120" s="10" t="s">
        <v>171</v>
      </c>
      <c r="E120" s="12">
        <v>23</v>
      </c>
      <c r="F120" s="9">
        <v>1986</v>
      </c>
      <c r="G120" s="13">
        <v>4276290.4400000004</v>
      </c>
      <c r="H120" s="13">
        <v>1881879.68</v>
      </c>
      <c r="I120" s="13">
        <v>2321.4299999999998</v>
      </c>
      <c r="J120" s="14" t="s">
        <v>29</v>
      </c>
      <c r="K120" s="14" t="s">
        <v>29</v>
      </c>
      <c r="L120" s="14" t="s">
        <v>29</v>
      </c>
      <c r="M120" s="14" t="s">
        <v>29</v>
      </c>
      <c r="N120" s="14" t="s">
        <v>29</v>
      </c>
      <c r="O120" s="14" t="s">
        <v>29</v>
      </c>
      <c r="P120" s="14" t="s">
        <v>29</v>
      </c>
      <c r="Q120" s="13">
        <v>4276290.4400000004</v>
      </c>
      <c r="R120" s="13">
        <v>1879558.25</v>
      </c>
      <c r="S120" s="13">
        <v>2321.4299999999998</v>
      </c>
    </row>
    <row r="121" spans="1:19" x14ac:dyDescent="0.25">
      <c r="A121" s="9">
        <v>355</v>
      </c>
      <c r="B121" s="10" t="s">
        <v>192</v>
      </c>
      <c r="C121" s="11">
        <v>386</v>
      </c>
      <c r="D121" s="10" t="s">
        <v>189</v>
      </c>
      <c r="E121" s="12">
        <v>12</v>
      </c>
      <c r="F121" s="9">
        <v>1985</v>
      </c>
      <c r="G121" s="13">
        <v>326829.07</v>
      </c>
      <c r="H121" s="13">
        <v>139566.35</v>
      </c>
      <c r="I121" s="15">
        <v>174.9</v>
      </c>
      <c r="J121" s="14" t="s">
        <v>29</v>
      </c>
      <c r="K121" s="14" t="s">
        <v>29</v>
      </c>
      <c r="L121" s="14" t="s">
        <v>29</v>
      </c>
      <c r="M121" s="14" t="s">
        <v>29</v>
      </c>
      <c r="N121" s="14" t="s">
        <v>29</v>
      </c>
      <c r="O121" s="14" t="s">
        <v>29</v>
      </c>
      <c r="P121" s="14" t="s">
        <v>29</v>
      </c>
      <c r="Q121" s="13">
        <v>326829.07</v>
      </c>
      <c r="R121" s="13">
        <v>139391.45000000001</v>
      </c>
      <c r="S121" s="15">
        <v>174.9</v>
      </c>
    </row>
    <row r="122" spans="1:19" x14ac:dyDescent="0.25">
      <c r="A122" s="9">
        <v>357</v>
      </c>
      <c r="B122" s="10" t="s">
        <v>193</v>
      </c>
      <c r="C122" s="11">
        <v>388</v>
      </c>
      <c r="D122" s="10" t="s">
        <v>171</v>
      </c>
      <c r="E122" s="12">
        <v>39</v>
      </c>
      <c r="F122" s="9">
        <v>1983</v>
      </c>
      <c r="G122" s="13">
        <v>546112.88</v>
      </c>
      <c r="H122" s="13">
        <v>219539.94</v>
      </c>
      <c r="I122" s="15">
        <v>312.26</v>
      </c>
      <c r="J122" s="14" t="s">
        <v>29</v>
      </c>
      <c r="K122" s="14" t="s">
        <v>29</v>
      </c>
      <c r="L122" s="14" t="s">
        <v>29</v>
      </c>
      <c r="M122" s="14" t="s">
        <v>29</v>
      </c>
      <c r="N122" s="14" t="s">
        <v>29</v>
      </c>
      <c r="O122" s="14" t="s">
        <v>29</v>
      </c>
      <c r="P122" s="14" t="s">
        <v>29</v>
      </c>
      <c r="Q122" s="13">
        <v>546112.88</v>
      </c>
      <c r="R122" s="13">
        <v>219227.68</v>
      </c>
      <c r="S122" s="15">
        <v>312.26</v>
      </c>
    </row>
    <row r="123" spans="1:19" x14ac:dyDescent="0.25">
      <c r="A123" s="9">
        <v>358</v>
      </c>
      <c r="B123" s="10" t="s">
        <v>194</v>
      </c>
      <c r="C123" s="11">
        <v>389</v>
      </c>
      <c r="D123" s="10" t="s">
        <v>195</v>
      </c>
      <c r="E123" s="12">
        <v>26</v>
      </c>
      <c r="F123" s="9">
        <v>1989</v>
      </c>
      <c r="G123" s="13">
        <v>440478.24</v>
      </c>
      <c r="H123" s="13">
        <v>190443.94</v>
      </c>
      <c r="I123" s="15">
        <v>233.06</v>
      </c>
      <c r="J123" s="14" t="s">
        <v>29</v>
      </c>
      <c r="K123" s="14" t="s">
        <v>29</v>
      </c>
      <c r="L123" s="14" t="s">
        <v>29</v>
      </c>
      <c r="M123" s="14" t="s">
        <v>29</v>
      </c>
      <c r="N123" s="14" t="s">
        <v>29</v>
      </c>
      <c r="O123" s="14" t="s">
        <v>29</v>
      </c>
      <c r="P123" s="14" t="s">
        <v>29</v>
      </c>
      <c r="Q123" s="13">
        <v>440478.24</v>
      </c>
      <c r="R123" s="13">
        <v>190210.88</v>
      </c>
      <c r="S123" s="15">
        <v>233.06</v>
      </c>
    </row>
    <row r="124" spans="1:19" x14ac:dyDescent="0.25">
      <c r="A124" s="9">
        <v>360</v>
      </c>
      <c r="B124" s="10" t="s">
        <v>196</v>
      </c>
      <c r="C124" s="11">
        <v>391</v>
      </c>
      <c r="D124" s="10" t="s">
        <v>195</v>
      </c>
      <c r="E124" s="12">
        <v>28</v>
      </c>
      <c r="F124" s="9">
        <v>1992</v>
      </c>
      <c r="G124" s="13">
        <v>423456.47</v>
      </c>
      <c r="H124" s="13">
        <v>193499.26</v>
      </c>
      <c r="I124" s="15">
        <v>226.78</v>
      </c>
      <c r="J124" s="14" t="s">
        <v>29</v>
      </c>
      <c r="K124" s="14" t="s">
        <v>29</v>
      </c>
      <c r="L124" s="14" t="s">
        <v>29</v>
      </c>
      <c r="M124" s="14" t="s">
        <v>29</v>
      </c>
      <c r="N124" s="14" t="s">
        <v>29</v>
      </c>
      <c r="O124" s="14" t="s">
        <v>29</v>
      </c>
      <c r="P124" s="14" t="s">
        <v>29</v>
      </c>
      <c r="Q124" s="13">
        <v>423456.47</v>
      </c>
      <c r="R124" s="13">
        <v>193272.48</v>
      </c>
      <c r="S124" s="15">
        <v>226.78</v>
      </c>
    </row>
    <row r="125" spans="1:19" x14ac:dyDescent="0.25">
      <c r="A125" s="9">
        <v>361</v>
      </c>
      <c r="B125" s="10" t="s">
        <v>197</v>
      </c>
      <c r="C125" s="11">
        <v>392</v>
      </c>
      <c r="D125" s="10" t="s">
        <v>195</v>
      </c>
      <c r="E125" s="12">
        <v>30</v>
      </c>
      <c r="F125" s="9">
        <v>1994</v>
      </c>
      <c r="G125" s="13">
        <v>136526.07</v>
      </c>
      <c r="H125" s="13">
        <v>59582.7</v>
      </c>
      <c r="I125" s="15">
        <v>71.349999999999994</v>
      </c>
      <c r="J125" s="14" t="s">
        <v>29</v>
      </c>
      <c r="K125" s="14" t="s">
        <v>29</v>
      </c>
      <c r="L125" s="14" t="s">
        <v>29</v>
      </c>
      <c r="M125" s="14" t="s">
        <v>29</v>
      </c>
      <c r="N125" s="14" t="s">
        <v>29</v>
      </c>
      <c r="O125" s="14" t="s">
        <v>29</v>
      </c>
      <c r="P125" s="14" t="s">
        <v>29</v>
      </c>
      <c r="Q125" s="13">
        <v>136526.07</v>
      </c>
      <c r="R125" s="13">
        <v>59511.35</v>
      </c>
      <c r="S125" s="15">
        <v>71.349999999999994</v>
      </c>
    </row>
    <row r="126" spans="1:19" x14ac:dyDescent="0.25">
      <c r="A126" s="9">
        <v>369</v>
      </c>
      <c r="B126" s="10" t="s">
        <v>198</v>
      </c>
      <c r="C126" s="11">
        <v>400</v>
      </c>
      <c r="D126" s="10" t="s">
        <v>171</v>
      </c>
      <c r="E126" s="12">
        <v>4</v>
      </c>
      <c r="F126" s="9">
        <v>1900</v>
      </c>
      <c r="G126" s="13">
        <v>378112.26</v>
      </c>
      <c r="H126" s="13">
        <v>56800.639999999999</v>
      </c>
      <c r="I126" s="15">
        <v>378.82</v>
      </c>
      <c r="J126" s="14" t="s">
        <v>29</v>
      </c>
      <c r="K126" s="14" t="s">
        <v>29</v>
      </c>
      <c r="L126" s="14" t="s">
        <v>29</v>
      </c>
      <c r="M126" s="14" t="s">
        <v>29</v>
      </c>
      <c r="N126" s="14" t="s">
        <v>29</v>
      </c>
      <c r="O126" s="14" t="s">
        <v>29</v>
      </c>
      <c r="P126" s="14" t="s">
        <v>29</v>
      </c>
      <c r="Q126" s="13">
        <v>378112.26</v>
      </c>
      <c r="R126" s="13">
        <v>56421.82</v>
      </c>
      <c r="S126" s="15">
        <v>378.82</v>
      </c>
    </row>
    <row r="127" spans="1:19" x14ac:dyDescent="0.25">
      <c r="A127" s="9">
        <v>371</v>
      </c>
      <c r="B127" s="10" t="s">
        <v>199</v>
      </c>
      <c r="C127" s="11">
        <v>402</v>
      </c>
      <c r="D127" s="10" t="s">
        <v>171</v>
      </c>
      <c r="E127" s="12">
        <v>18</v>
      </c>
      <c r="F127" s="9">
        <v>1915</v>
      </c>
      <c r="G127" s="13">
        <v>195508.53</v>
      </c>
      <c r="H127" s="13">
        <v>27206.76</v>
      </c>
      <c r="I127" s="15">
        <v>189.46</v>
      </c>
      <c r="J127" s="14" t="s">
        <v>29</v>
      </c>
      <c r="K127" s="14" t="s">
        <v>29</v>
      </c>
      <c r="L127" s="14" t="s">
        <v>29</v>
      </c>
      <c r="M127" s="14" t="s">
        <v>29</v>
      </c>
      <c r="N127" s="14" t="s">
        <v>29</v>
      </c>
      <c r="O127" s="14" t="s">
        <v>29</v>
      </c>
      <c r="P127" s="14" t="s">
        <v>29</v>
      </c>
      <c r="Q127" s="13">
        <v>195508.53</v>
      </c>
      <c r="R127" s="13">
        <v>27017.3</v>
      </c>
      <c r="S127" s="15">
        <v>189.46</v>
      </c>
    </row>
    <row r="128" spans="1:19" x14ac:dyDescent="0.25">
      <c r="A128" s="9">
        <v>373</v>
      </c>
      <c r="B128" s="10" t="s">
        <v>200</v>
      </c>
      <c r="C128" s="11">
        <v>404</v>
      </c>
      <c r="D128" s="10" t="s">
        <v>171</v>
      </c>
      <c r="E128" s="12">
        <v>32</v>
      </c>
      <c r="F128" s="9">
        <v>1912</v>
      </c>
      <c r="G128" s="13">
        <v>104233.11</v>
      </c>
      <c r="H128" s="13">
        <v>17424.75</v>
      </c>
      <c r="I128" s="15">
        <v>114.15</v>
      </c>
      <c r="J128" s="14" t="s">
        <v>29</v>
      </c>
      <c r="K128" s="14" t="s">
        <v>29</v>
      </c>
      <c r="L128" s="14" t="s">
        <v>29</v>
      </c>
      <c r="M128" s="14" t="s">
        <v>29</v>
      </c>
      <c r="N128" s="14" t="s">
        <v>29</v>
      </c>
      <c r="O128" s="14" t="s">
        <v>29</v>
      </c>
      <c r="P128" s="14" t="s">
        <v>29</v>
      </c>
      <c r="Q128" s="13">
        <v>104233.11</v>
      </c>
      <c r="R128" s="13">
        <v>17310.599999999999</v>
      </c>
      <c r="S128" s="15">
        <v>114.15</v>
      </c>
    </row>
    <row r="129" spans="1:19" x14ac:dyDescent="0.25">
      <c r="A129" s="9">
        <v>375</v>
      </c>
      <c r="B129" s="10" t="s">
        <v>201</v>
      </c>
      <c r="C129" s="11">
        <v>406</v>
      </c>
      <c r="D129" s="10" t="s">
        <v>202</v>
      </c>
      <c r="E129" s="12">
        <v>1</v>
      </c>
      <c r="F129" s="9">
        <v>1903</v>
      </c>
      <c r="G129" s="13">
        <v>85197.69</v>
      </c>
      <c r="H129" s="13">
        <v>12803</v>
      </c>
      <c r="I129" s="15">
        <v>85.4</v>
      </c>
      <c r="J129" s="14" t="s">
        <v>29</v>
      </c>
      <c r="K129" s="14" t="s">
        <v>29</v>
      </c>
      <c r="L129" s="14" t="s">
        <v>29</v>
      </c>
      <c r="M129" s="14" t="s">
        <v>29</v>
      </c>
      <c r="N129" s="14" t="s">
        <v>29</v>
      </c>
      <c r="O129" s="14" t="s">
        <v>29</v>
      </c>
      <c r="P129" s="14" t="s">
        <v>29</v>
      </c>
      <c r="Q129" s="13">
        <v>85197.69</v>
      </c>
      <c r="R129" s="13">
        <v>12717.6</v>
      </c>
      <c r="S129" s="15">
        <v>85.4</v>
      </c>
    </row>
    <row r="130" spans="1:19" x14ac:dyDescent="0.25">
      <c r="A130" s="9">
        <v>380</v>
      </c>
      <c r="B130" s="10" t="s">
        <v>203</v>
      </c>
      <c r="C130" s="11">
        <v>411</v>
      </c>
      <c r="D130" s="10" t="s">
        <v>204</v>
      </c>
      <c r="E130" s="12">
        <v>50</v>
      </c>
      <c r="F130" s="9">
        <v>1973</v>
      </c>
      <c r="G130" s="13">
        <v>83273.320000000007</v>
      </c>
      <c r="H130" s="13">
        <v>26527.01</v>
      </c>
      <c r="I130" s="15">
        <v>44.72</v>
      </c>
      <c r="J130" s="14" t="s">
        <v>29</v>
      </c>
      <c r="K130" s="14" t="s">
        <v>29</v>
      </c>
      <c r="L130" s="14" t="s">
        <v>29</v>
      </c>
      <c r="M130" s="14" t="s">
        <v>29</v>
      </c>
      <c r="N130" s="14" t="s">
        <v>29</v>
      </c>
      <c r="O130" s="14" t="s">
        <v>29</v>
      </c>
      <c r="P130" s="14" t="s">
        <v>29</v>
      </c>
      <c r="Q130" s="13">
        <v>83273.320000000007</v>
      </c>
      <c r="R130" s="13">
        <v>26482.29</v>
      </c>
      <c r="S130" s="15">
        <v>44.72</v>
      </c>
    </row>
    <row r="131" spans="1:19" x14ac:dyDescent="0.25">
      <c r="A131" s="9">
        <v>381</v>
      </c>
      <c r="B131" s="10" t="s">
        <v>205</v>
      </c>
      <c r="C131" s="11">
        <v>412</v>
      </c>
      <c r="D131" s="10" t="s">
        <v>204</v>
      </c>
      <c r="E131" s="12">
        <v>46</v>
      </c>
      <c r="F131" s="9">
        <v>1967</v>
      </c>
      <c r="G131" s="13">
        <v>178757.18</v>
      </c>
      <c r="H131" s="13">
        <v>54815.96</v>
      </c>
      <c r="I131" s="15">
        <v>98.45</v>
      </c>
      <c r="J131" s="14" t="s">
        <v>29</v>
      </c>
      <c r="K131" s="14" t="s">
        <v>29</v>
      </c>
      <c r="L131" s="14" t="s">
        <v>29</v>
      </c>
      <c r="M131" s="14" t="s">
        <v>29</v>
      </c>
      <c r="N131" s="14" t="s">
        <v>29</v>
      </c>
      <c r="O131" s="14" t="s">
        <v>29</v>
      </c>
      <c r="P131" s="14" t="s">
        <v>29</v>
      </c>
      <c r="Q131" s="13">
        <v>178757.18</v>
      </c>
      <c r="R131" s="13">
        <v>54717.51</v>
      </c>
      <c r="S131" s="15">
        <v>98.45</v>
      </c>
    </row>
    <row r="132" spans="1:19" x14ac:dyDescent="0.25">
      <c r="A132" s="9">
        <v>384</v>
      </c>
      <c r="B132" s="10" t="s">
        <v>206</v>
      </c>
      <c r="C132" s="11">
        <v>415</v>
      </c>
      <c r="D132" s="10" t="s">
        <v>204</v>
      </c>
      <c r="E132" s="12">
        <v>44</v>
      </c>
      <c r="F132" s="9">
        <v>1978</v>
      </c>
      <c r="G132" s="13">
        <v>245894.75</v>
      </c>
      <c r="H132" s="13">
        <v>88947.02</v>
      </c>
      <c r="I132" s="15">
        <v>131.31</v>
      </c>
      <c r="J132" s="14" t="s">
        <v>29</v>
      </c>
      <c r="K132" s="14" t="s">
        <v>29</v>
      </c>
      <c r="L132" s="14" t="s">
        <v>29</v>
      </c>
      <c r="M132" s="14" t="s">
        <v>29</v>
      </c>
      <c r="N132" s="14" t="s">
        <v>29</v>
      </c>
      <c r="O132" s="14" t="s">
        <v>29</v>
      </c>
      <c r="P132" s="14" t="s">
        <v>29</v>
      </c>
      <c r="Q132" s="13">
        <v>245894.75</v>
      </c>
      <c r="R132" s="13">
        <v>88815.71</v>
      </c>
      <c r="S132" s="15">
        <v>131.31</v>
      </c>
    </row>
    <row r="133" spans="1:19" x14ac:dyDescent="0.25">
      <c r="A133" s="9">
        <v>385</v>
      </c>
      <c r="B133" s="10" t="s">
        <v>207</v>
      </c>
      <c r="C133" s="11">
        <v>416</v>
      </c>
      <c r="D133" s="10" t="s">
        <v>204</v>
      </c>
      <c r="E133" s="12">
        <v>36</v>
      </c>
      <c r="F133" s="9">
        <v>1979</v>
      </c>
      <c r="G133" s="13">
        <v>173569.23</v>
      </c>
      <c r="H133" s="13">
        <v>64514.69</v>
      </c>
      <c r="I133" s="15">
        <v>91.89</v>
      </c>
      <c r="J133" s="14" t="s">
        <v>29</v>
      </c>
      <c r="K133" s="14" t="s">
        <v>29</v>
      </c>
      <c r="L133" s="14" t="s">
        <v>29</v>
      </c>
      <c r="M133" s="14" t="s">
        <v>29</v>
      </c>
      <c r="N133" s="14" t="s">
        <v>29</v>
      </c>
      <c r="O133" s="14" t="s">
        <v>29</v>
      </c>
      <c r="P133" s="14" t="s">
        <v>29</v>
      </c>
      <c r="Q133" s="13">
        <v>173569.23</v>
      </c>
      <c r="R133" s="13">
        <v>64422.8</v>
      </c>
      <c r="S133" s="15">
        <v>91.89</v>
      </c>
    </row>
    <row r="134" spans="1:19" x14ac:dyDescent="0.25">
      <c r="A134" s="9">
        <v>386</v>
      </c>
      <c r="B134" s="10" t="s">
        <v>208</v>
      </c>
      <c r="C134" s="11">
        <v>417</v>
      </c>
      <c r="D134" s="10" t="s">
        <v>204</v>
      </c>
      <c r="E134" s="12">
        <v>38</v>
      </c>
      <c r="F134" s="9">
        <v>1982</v>
      </c>
      <c r="G134" s="13">
        <v>180429.96</v>
      </c>
      <c r="H134" s="13">
        <v>6268.08</v>
      </c>
      <c r="I134" s="15">
        <v>100.98</v>
      </c>
      <c r="J134" s="14" t="s">
        <v>29</v>
      </c>
      <c r="K134" s="14" t="s">
        <v>29</v>
      </c>
      <c r="L134" s="14" t="s">
        <v>29</v>
      </c>
      <c r="M134" s="14" t="s">
        <v>29</v>
      </c>
      <c r="N134" s="14" t="s">
        <v>29</v>
      </c>
      <c r="O134" s="14" t="s">
        <v>29</v>
      </c>
      <c r="P134" s="14" t="s">
        <v>29</v>
      </c>
      <c r="Q134" s="13">
        <v>180429.96</v>
      </c>
      <c r="R134" s="13">
        <v>6167.1</v>
      </c>
      <c r="S134" s="15">
        <v>100.98</v>
      </c>
    </row>
    <row r="135" spans="1:19" x14ac:dyDescent="0.25">
      <c r="A135" s="9">
        <v>391</v>
      </c>
      <c r="B135" s="10" t="s">
        <v>209</v>
      </c>
      <c r="C135" s="11">
        <v>423</v>
      </c>
      <c r="D135" s="10" t="s">
        <v>204</v>
      </c>
      <c r="E135" s="10" t="s">
        <v>210</v>
      </c>
      <c r="F135" s="9">
        <v>1893</v>
      </c>
      <c r="G135" s="13">
        <v>293122.99</v>
      </c>
      <c r="H135" s="13">
        <v>23136.99</v>
      </c>
      <c r="I135" s="15">
        <v>150.07</v>
      </c>
      <c r="J135" s="14" t="s">
        <v>29</v>
      </c>
      <c r="K135" s="14" t="s">
        <v>29</v>
      </c>
      <c r="L135" s="14" t="s">
        <v>29</v>
      </c>
      <c r="M135" s="14" t="s">
        <v>29</v>
      </c>
      <c r="N135" s="14" t="s">
        <v>29</v>
      </c>
      <c r="O135" s="14" t="s">
        <v>29</v>
      </c>
      <c r="P135" s="14" t="s">
        <v>29</v>
      </c>
      <c r="Q135" s="13">
        <v>293122.99</v>
      </c>
      <c r="R135" s="13">
        <v>22986.92</v>
      </c>
      <c r="S135" s="15">
        <v>150.07</v>
      </c>
    </row>
    <row r="136" spans="1:19" x14ac:dyDescent="0.25">
      <c r="A136" s="9">
        <v>398</v>
      </c>
      <c r="B136" s="10" t="s">
        <v>211</v>
      </c>
      <c r="C136" s="11">
        <v>430</v>
      </c>
      <c r="D136" s="10" t="s">
        <v>212</v>
      </c>
      <c r="E136" s="12">
        <v>5</v>
      </c>
      <c r="F136" s="9">
        <v>1961</v>
      </c>
      <c r="G136" s="13">
        <v>244086.56</v>
      </c>
      <c r="H136" s="13">
        <v>67681.52</v>
      </c>
      <c r="I136" s="15">
        <v>132.71</v>
      </c>
      <c r="J136" s="14" t="s">
        <v>29</v>
      </c>
      <c r="K136" s="14" t="s">
        <v>29</v>
      </c>
      <c r="L136" s="14" t="s">
        <v>29</v>
      </c>
      <c r="M136" s="14" t="s">
        <v>29</v>
      </c>
      <c r="N136" s="14" t="s">
        <v>29</v>
      </c>
      <c r="O136" s="14" t="s">
        <v>29</v>
      </c>
      <c r="P136" s="14" t="s">
        <v>29</v>
      </c>
      <c r="Q136" s="13">
        <v>244086.56</v>
      </c>
      <c r="R136" s="13">
        <v>67548.81</v>
      </c>
      <c r="S136" s="15">
        <v>132.71</v>
      </c>
    </row>
    <row r="137" spans="1:19" x14ac:dyDescent="0.25">
      <c r="A137" s="9">
        <v>401</v>
      </c>
      <c r="B137" s="10" t="s">
        <v>213</v>
      </c>
      <c r="C137" s="11">
        <v>433</v>
      </c>
      <c r="D137" s="10" t="s">
        <v>212</v>
      </c>
      <c r="E137" s="12">
        <v>7</v>
      </c>
      <c r="F137" s="9">
        <v>1962</v>
      </c>
      <c r="G137" s="13">
        <v>60578.03</v>
      </c>
      <c r="H137" s="13">
        <v>17388.330000000002</v>
      </c>
      <c r="I137" s="15">
        <v>33.96</v>
      </c>
      <c r="J137" s="14" t="s">
        <v>29</v>
      </c>
      <c r="K137" s="14" t="s">
        <v>29</v>
      </c>
      <c r="L137" s="14" t="s">
        <v>29</v>
      </c>
      <c r="M137" s="14" t="s">
        <v>29</v>
      </c>
      <c r="N137" s="14" t="s">
        <v>29</v>
      </c>
      <c r="O137" s="14" t="s">
        <v>29</v>
      </c>
      <c r="P137" s="14" t="s">
        <v>29</v>
      </c>
      <c r="Q137" s="13">
        <v>60578.03</v>
      </c>
      <c r="R137" s="13">
        <v>17354.37</v>
      </c>
      <c r="S137" s="15">
        <v>33.96</v>
      </c>
    </row>
    <row r="138" spans="1:19" x14ac:dyDescent="0.25">
      <c r="A138" s="9">
        <v>404</v>
      </c>
      <c r="B138" s="10" t="s">
        <v>214</v>
      </c>
      <c r="C138" s="11">
        <v>436</v>
      </c>
      <c r="D138" s="10" t="s">
        <v>204</v>
      </c>
      <c r="E138" s="12">
        <v>40</v>
      </c>
      <c r="F138" s="9">
        <v>1964</v>
      </c>
      <c r="G138" s="13">
        <v>176157.74</v>
      </c>
      <c r="H138" s="13">
        <v>51165.17</v>
      </c>
      <c r="I138" s="15">
        <v>97.87</v>
      </c>
      <c r="J138" s="14" t="s">
        <v>29</v>
      </c>
      <c r="K138" s="14" t="s">
        <v>29</v>
      </c>
      <c r="L138" s="14" t="s">
        <v>29</v>
      </c>
      <c r="M138" s="14" t="s">
        <v>29</v>
      </c>
      <c r="N138" s="14" t="s">
        <v>29</v>
      </c>
      <c r="O138" s="14" t="s">
        <v>29</v>
      </c>
      <c r="P138" s="14" t="s">
        <v>29</v>
      </c>
      <c r="Q138" s="13">
        <v>176157.74</v>
      </c>
      <c r="R138" s="13">
        <v>51067.3</v>
      </c>
      <c r="S138" s="15">
        <v>97.87</v>
      </c>
    </row>
    <row r="139" spans="1:19" x14ac:dyDescent="0.25">
      <c r="A139" s="9">
        <v>406</v>
      </c>
      <c r="B139" s="10" t="s">
        <v>215</v>
      </c>
      <c r="C139" s="11">
        <v>438</v>
      </c>
      <c r="D139" s="10" t="s">
        <v>195</v>
      </c>
      <c r="E139" s="12">
        <v>20</v>
      </c>
      <c r="F139" s="9">
        <v>1963</v>
      </c>
      <c r="G139" s="13">
        <v>32658.13</v>
      </c>
      <c r="H139" s="13">
        <v>8040.83</v>
      </c>
      <c r="I139" s="15">
        <v>18.22</v>
      </c>
      <c r="J139" s="14" t="s">
        <v>29</v>
      </c>
      <c r="K139" s="14" t="s">
        <v>29</v>
      </c>
      <c r="L139" s="14" t="s">
        <v>29</v>
      </c>
      <c r="M139" s="14" t="s">
        <v>29</v>
      </c>
      <c r="N139" s="14" t="s">
        <v>29</v>
      </c>
      <c r="O139" s="14" t="s">
        <v>29</v>
      </c>
      <c r="P139" s="14" t="s">
        <v>29</v>
      </c>
      <c r="Q139" s="13">
        <v>32658.13</v>
      </c>
      <c r="R139" s="13">
        <v>8022.61</v>
      </c>
      <c r="S139" s="15">
        <v>18.22</v>
      </c>
    </row>
    <row r="140" spans="1:19" x14ac:dyDescent="0.25">
      <c r="A140" s="9">
        <v>408</v>
      </c>
      <c r="B140" s="10" t="s">
        <v>216</v>
      </c>
      <c r="C140" s="11">
        <v>440</v>
      </c>
      <c r="D140" s="10" t="s">
        <v>204</v>
      </c>
      <c r="E140" s="12">
        <v>52</v>
      </c>
      <c r="F140" s="9">
        <v>1937</v>
      </c>
      <c r="G140" s="13">
        <v>66202.91</v>
      </c>
      <c r="H140" s="13">
        <v>9564.9500000000007</v>
      </c>
      <c r="I140" s="15">
        <v>45.71</v>
      </c>
      <c r="J140" s="14" t="s">
        <v>29</v>
      </c>
      <c r="K140" s="14" t="s">
        <v>29</v>
      </c>
      <c r="L140" s="14" t="s">
        <v>29</v>
      </c>
      <c r="M140" s="14" t="s">
        <v>29</v>
      </c>
      <c r="N140" s="14" t="s">
        <v>29</v>
      </c>
      <c r="O140" s="14" t="s">
        <v>29</v>
      </c>
      <c r="P140" s="14" t="s">
        <v>29</v>
      </c>
      <c r="Q140" s="13">
        <v>66202.91</v>
      </c>
      <c r="R140" s="13">
        <v>9519.24</v>
      </c>
      <c r="S140" s="15">
        <v>45.71</v>
      </c>
    </row>
    <row r="141" spans="1:19" x14ac:dyDescent="0.25">
      <c r="A141" s="9">
        <v>409</v>
      </c>
      <c r="B141" s="10" t="s">
        <v>217</v>
      </c>
      <c r="C141" s="11">
        <v>441</v>
      </c>
      <c r="D141" s="10" t="s">
        <v>204</v>
      </c>
      <c r="E141" s="12">
        <v>48</v>
      </c>
      <c r="F141" s="9">
        <v>1970</v>
      </c>
      <c r="G141" s="13">
        <v>119003.34</v>
      </c>
      <c r="H141" s="13">
        <v>37112.550000000003</v>
      </c>
      <c r="I141" s="15">
        <v>64.84</v>
      </c>
      <c r="J141" s="14" t="s">
        <v>29</v>
      </c>
      <c r="K141" s="14" t="s">
        <v>29</v>
      </c>
      <c r="L141" s="14" t="s">
        <v>29</v>
      </c>
      <c r="M141" s="14" t="s">
        <v>29</v>
      </c>
      <c r="N141" s="14" t="s">
        <v>29</v>
      </c>
      <c r="O141" s="14" t="s">
        <v>29</v>
      </c>
      <c r="P141" s="14" t="s">
        <v>29</v>
      </c>
      <c r="Q141" s="13">
        <v>119003.34</v>
      </c>
      <c r="R141" s="13">
        <v>37047.71</v>
      </c>
      <c r="S141" s="15">
        <v>64.84</v>
      </c>
    </row>
    <row r="142" spans="1:19" x14ac:dyDescent="0.25">
      <c r="A142" s="9">
        <v>413</v>
      </c>
      <c r="B142" s="10" t="s">
        <v>218</v>
      </c>
      <c r="C142" s="11">
        <v>445</v>
      </c>
      <c r="D142" s="10" t="s">
        <v>185</v>
      </c>
      <c r="E142" s="12">
        <v>3</v>
      </c>
      <c r="F142" s="9">
        <v>1961</v>
      </c>
      <c r="G142" s="13">
        <v>272141.49</v>
      </c>
      <c r="H142" s="13">
        <v>7955.8</v>
      </c>
      <c r="I142" s="15">
        <v>51.7</v>
      </c>
      <c r="J142" s="14" t="s">
        <v>29</v>
      </c>
      <c r="K142" s="14" t="s">
        <v>29</v>
      </c>
      <c r="L142" s="14" t="s">
        <v>29</v>
      </c>
      <c r="M142" s="14" t="s">
        <v>29</v>
      </c>
      <c r="N142" s="14" t="s">
        <v>29</v>
      </c>
      <c r="O142" s="14" t="s">
        <v>29</v>
      </c>
      <c r="P142" s="14" t="s">
        <v>29</v>
      </c>
      <c r="Q142" s="13">
        <v>272141.49</v>
      </c>
      <c r="R142" s="13">
        <v>7904.1</v>
      </c>
      <c r="S142" s="15">
        <v>51.7</v>
      </c>
    </row>
    <row r="143" spans="1:19" x14ac:dyDescent="0.25">
      <c r="A143" s="9">
        <v>418</v>
      </c>
      <c r="B143" s="10" t="s">
        <v>219</v>
      </c>
      <c r="C143" s="11">
        <v>450</v>
      </c>
      <c r="D143" s="10" t="s">
        <v>220</v>
      </c>
      <c r="E143" s="12">
        <v>3</v>
      </c>
      <c r="F143" s="9">
        <v>1916</v>
      </c>
      <c r="G143" s="13">
        <v>26064.78</v>
      </c>
      <c r="H143" s="14" t="s">
        <v>29</v>
      </c>
      <c r="I143" s="14" t="s">
        <v>29</v>
      </c>
      <c r="J143" s="14" t="s">
        <v>29</v>
      </c>
      <c r="K143" s="14" t="s">
        <v>29</v>
      </c>
      <c r="L143" s="14" t="s">
        <v>29</v>
      </c>
      <c r="M143" s="14" t="s">
        <v>29</v>
      </c>
      <c r="N143" s="14" t="s">
        <v>29</v>
      </c>
      <c r="O143" s="14" t="s">
        <v>29</v>
      </c>
      <c r="P143" s="14" t="s">
        <v>29</v>
      </c>
      <c r="Q143" s="13">
        <v>26064.78</v>
      </c>
      <c r="R143" s="14" t="s">
        <v>29</v>
      </c>
      <c r="S143" s="14" t="s">
        <v>29</v>
      </c>
    </row>
    <row r="144" spans="1:19" x14ac:dyDescent="0.25">
      <c r="A144" s="9">
        <v>419</v>
      </c>
      <c r="B144" s="10" t="s">
        <v>221</v>
      </c>
      <c r="C144" s="11">
        <v>451</v>
      </c>
      <c r="D144" s="10" t="s">
        <v>220</v>
      </c>
      <c r="E144" s="12">
        <v>15</v>
      </c>
      <c r="F144" s="9">
        <v>1922</v>
      </c>
      <c r="G144" s="13">
        <v>96338.98</v>
      </c>
      <c r="H144" s="13">
        <v>8545.42</v>
      </c>
      <c r="I144" s="15">
        <v>55.34</v>
      </c>
      <c r="J144" s="14" t="s">
        <v>29</v>
      </c>
      <c r="K144" s="14" t="s">
        <v>29</v>
      </c>
      <c r="L144" s="14" t="s">
        <v>29</v>
      </c>
      <c r="M144" s="14" t="s">
        <v>29</v>
      </c>
      <c r="N144" s="14" t="s">
        <v>29</v>
      </c>
      <c r="O144" s="14" t="s">
        <v>29</v>
      </c>
      <c r="P144" s="14" t="s">
        <v>29</v>
      </c>
      <c r="Q144" s="13">
        <v>96338.98</v>
      </c>
      <c r="R144" s="13">
        <v>8490.08</v>
      </c>
      <c r="S144" s="15">
        <v>55.34</v>
      </c>
    </row>
    <row r="145" spans="1:19" x14ac:dyDescent="0.25">
      <c r="A145" s="9">
        <v>421</v>
      </c>
      <c r="B145" s="10" t="s">
        <v>222</v>
      </c>
      <c r="C145" s="11">
        <v>454</v>
      </c>
      <c r="D145" s="10" t="s">
        <v>171</v>
      </c>
      <c r="E145" s="12">
        <v>9</v>
      </c>
      <c r="F145" s="9">
        <v>1939</v>
      </c>
      <c r="G145" s="13">
        <v>197912.27</v>
      </c>
      <c r="H145" s="13">
        <v>58837.35</v>
      </c>
      <c r="I145" s="15">
        <v>234.98</v>
      </c>
      <c r="J145" s="14" t="s">
        <v>29</v>
      </c>
      <c r="K145" s="14" t="s">
        <v>29</v>
      </c>
      <c r="L145" s="14" t="s">
        <v>29</v>
      </c>
      <c r="M145" s="14" t="s">
        <v>29</v>
      </c>
      <c r="N145" s="14" t="s">
        <v>29</v>
      </c>
      <c r="O145" s="14" t="s">
        <v>29</v>
      </c>
      <c r="P145" s="14" t="s">
        <v>29</v>
      </c>
      <c r="Q145" s="13">
        <v>197912.27</v>
      </c>
      <c r="R145" s="13">
        <v>58602.37</v>
      </c>
      <c r="S145" s="15">
        <v>234.98</v>
      </c>
    </row>
    <row r="146" spans="1:19" x14ac:dyDescent="0.25">
      <c r="A146" s="9">
        <v>422</v>
      </c>
      <c r="B146" s="10" t="s">
        <v>223</v>
      </c>
      <c r="C146" s="11">
        <v>455</v>
      </c>
      <c r="D146" s="10" t="s">
        <v>176</v>
      </c>
      <c r="E146" s="12">
        <v>14</v>
      </c>
      <c r="F146" s="9">
        <v>1967</v>
      </c>
      <c r="G146" s="13">
        <v>279739.11</v>
      </c>
      <c r="H146" s="13">
        <v>107251.09</v>
      </c>
      <c r="I146" s="15">
        <v>190.15</v>
      </c>
      <c r="J146" s="14" t="s">
        <v>29</v>
      </c>
      <c r="K146" s="14" t="s">
        <v>29</v>
      </c>
      <c r="L146" s="14" t="s">
        <v>29</v>
      </c>
      <c r="M146" s="14" t="s">
        <v>29</v>
      </c>
      <c r="N146" s="14" t="s">
        <v>29</v>
      </c>
      <c r="O146" s="14" t="s">
        <v>29</v>
      </c>
      <c r="P146" s="14" t="s">
        <v>29</v>
      </c>
      <c r="Q146" s="13">
        <v>279739.11</v>
      </c>
      <c r="R146" s="13">
        <v>107060.94</v>
      </c>
      <c r="S146" s="15">
        <v>190.15</v>
      </c>
    </row>
    <row r="147" spans="1:19" x14ac:dyDescent="0.25">
      <c r="A147" s="9">
        <v>423</v>
      </c>
      <c r="B147" s="10" t="s">
        <v>224</v>
      </c>
      <c r="C147" s="11">
        <v>456</v>
      </c>
      <c r="D147" s="10" t="s">
        <v>225</v>
      </c>
      <c r="E147" s="12">
        <v>55</v>
      </c>
      <c r="F147" s="9">
        <v>1964</v>
      </c>
      <c r="G147" s="13">
        <v>39523.589999999997</v>
      </c>
      <c r="H147" s="13">
        <v>11048.83</v>
      </c>
      <c r="I147" s="15">
        <v>21.03</v>
      </c>
      <c r="J147" s="14" t="s">
        <v>29</v>
      </c>
      <c r="K147" s="14" t="s">
        <v>29</v>
      </c>
      <c r="L147" s="14" t="s">
        <v>29</v>
      </c>
      <c r="M147" s="14" t="s">
        <v>29</v>
      </c>
      <c r="N147" s="14" t="s">
        <v>29</v>
      </c>
      <c r="O147" s="14" t="s">
        <v>29</v>
      </c>
      <c r="P147" s="14" t="s">
        <v>29</v>
      </c>
      <c r="Q147" s="13">
        <v>39523.589999999997</v>
      </c>
      <c r="R147" s="13">
        <v>11027.8</v>
      </c>
      <c r="S147" s="15">
        <v>21.03</v>
      </c>
    </row>
    <row r="148" spans="1:19" x14ac:dyDescent="0.25">
      <c r="A148" s="9">
        <v>425</v>
      </c>
      <c r="B148" s="10" t="s">
        <v>226</v>
      </c>
      <c r="C148" s="11">
        <v>458</v>
      </c>
      <c r="D148" s="10" t="s">
        <v>171</v>
      </c>
      <c r="E148" s="12">
        <v>35</v>
      </c>
      <c r="F148" s="9">
        <v>1961</v>
      </c>
      <c r="G148" s="13">
        <v>57390.62</v>
      </c>
      <c r="H148" s="13">
        <v>16980.18</v>
      </c>
      <c r="I148" s="15">
        <v>22.39</v>
      </c>
      <c r="J148" s="14" t="s">
        <v>29</v>
      </c>
      <c r="K148" s="14" t="s">
        <v>29</v>
      </c>
      <c r="L148" s="14" t="s">
        <v>29</v>
      </c>
      <c r="M148" s="14" t="s">
        <v>29</v>
      </c>
      <c r="N148" s="14" t="s">
        <v>29</v>
      </c>
      <c r="O148" s="14" t="s">
        <v>29</v>
      </c>
      <c r="P148" s="14" t="s">
        <v>29</v>
      </c>
      <c r="Q148" s="13">
        <v>57390.62</v>
      </c>
      <c r="R148" s="13">
        <v>16957.79</v>
      </c>
      <c r="S148" s="15">
        <v>22.39</v>
      </c>
    </row>
    <row r="149" spans="1:19" x14ac:dyDescent="0.25">
      <c r="A149" s="9">
        <v>427</v>
      </c>
      <c r="B149" s="10" t="s">
        <v>227</v>
      </c>
      <c r="C149" s="11">
        <v>460</v>
      </c>
      <c r="D149" s="10" t="s">
        <v>195</v>
      </c>
      <c r="E149" s="10" t="s">
        <v>228</v>
      </c>
      <c r="F149" s="9">
        <v>1900</v>
      </c>
      <c r="G149" s="13">
        <v>817942.77</v>
      </c>
      <c r="H149" s="13">
        <v>137135.4</v>
      </c>
      <c r="I149" s="15">
        <v>939.38</v>
      </c>
      <c r="J149" s="14" t="s">
        <v>29</v>
      </c>
      <c r="K149" s="14" t="s">
        <v>29</v>
      </c>
      <c r="L149" s="14" t="s">
        <v>29</v>
      </c>
      <c r="M149" s="14" t="s">
        <v>29</v>
      </c>
      <c r="N149" s="14" t="s">
        <v>29</v>
      </c>
      <c r="O149" s="14" t="s">
        <v>29</v>
      </c>
      <c r="P149" s="14" t="s">
        <v>29</v>
      </c>
      <c r="Q149" s="13">
        <v>817942.77</v>
      </c>
      <c r="R149" s="13">
        <v>136196.01999999999</v>
      </c>
      <c r="S149" s="15">
        <v>939.38</v>
      </c>
    </row>
    <row r="150" spans="1:19" x14ac:dyDescent="0.25">
      <c r="A150" s="9">
        <v>428</v>
      </c>
      <c r="B150" s="10" t="s">
        <v>229</v>
      </c>
      <c r="C150" s="11">
        <v>462</v>
      </c>
      <c r="D150" s="10" t="s">
        <v>230</v>
      </c>
      <c r="E150" s="10" t="s">
        <v>231</v>
      </c>
      <c r="F150" s="9">
        <v>1970</v>
      </c>
      <c r="G150" s="13">
        <v>114262.18</v>
      </c>
      <c r="H150" s="13">
        <v>36590.75</v>
      </c>
      <c r="I150" s="15">
        <v>69.16</v>
      </c>
      <c r="J150" s="14" t="s">
        <v>29</v>
      </c>
      <c r="K150" s="14" t="s">
        <v>29</v>
      </c>
      <c r="L150" s="14" t="s">
        <v>29</v>
      </c>
      <c r="M150" s="14" t="s">
        <v>29</v>
      </c>
      <c r="N150" s="14" t="s">
        <v>29</v>
      </c>
      <c r="O150" s="14" t="s">
        <v>29</v>
      </c>
      <c r="P150" s="14" t="s">
        <v>29</v>
      </c>
      <c r="Q150" s="13">
        <v>114262.18</v>
      </c>
      <c r="R150" s="13">
        <v>36521.589999999997</v>
      </c>
      <c r="S150" s="15">
        <v>69.16</v>
      </c>
    </row>
    <row r="151" spans="1:19" x14ac:dyDescent="0.25">
      <c r="A151" s="9">
        <v>429</v>
      </c>
      <c r="B151" s="10" t="s">
        <v>232</v>
      </c>
      <c r="C151" s="11">
        <v>463</v>
      </c>
      <c r="D151" s="10" t="s">
        <v>230</v>
      </c>
      <c r="E151" s="12">
        <v>1</v>
      </c>
      <c r="F151" s="9">
        <v>1971</v>
      </c>
      <c r="G151" s="13">
        <v>60015.95</v>
      </c>
      <c r="H151" s="13">
        <v>15957.71</v>
      </c>
      <c r="I151" s="15">
        <v>35.72</v>
      </c>
      <c r="J151" s="14" t="s">
        <v>29</v>
      </c>
      <c r="K151" s="14" t="s">
        <v>29</v>
      </c>
      <c r="L151" s="14" t="s">
        <v>29</v>
      </c>
      <c r="M151" s="14" t="s">
        <v>29</v>
      </c>
      <c r="N151" s="14" t="s">
        <v>29</v>
      </c>
      <c r="O151" s="14" t="s">
        <v>29</v>
      </c>
      <c r="P151" s="14" t="s">
        <v>29</v>
      </c>
      <c r="Q151" s="13">
        <v>60015.95</v>
      </c>
      <c r="R151" s="13">
        <v>15921.99</v>
      </c>
      <c r="S151" s="15">
        <v>35.72</v>
      </c>
    </row>
    <row r="152" spans="1:19" x14ac:dyDescent="0.25">
      <c r="A152" s="9">
        <v>431</v>
      </c>
      <c r="B152" s="10" t="s">
        <v>233</v>
      </c>
      <c r="C152" s="11">
        <v>465</v>
      </c>
      <c r="D152" s="10" t="s">
        <v>234</v>
      </c>
      <c r="E152" s="12">
        <v>18</v>
      </c>
      <c r="F152" s="9">
        <v>1990</v>
      </c>
      <c r="G152" s="13">
        <v>430560.7</v>
      </c>
      <c r="H152" s="13">
        <v>184745.72</v>
      </c>
      <c r="I152" s="15">
        <v>225.53</v>
      </c>
      <c r="J152" s="14" t="s">
        <v>29</v>
      </c>
      <c r="K152" s="14" t="s">
        <v>29</v>
      </c>
      <c r="L152" s="14" t="s">
        <v>29</v>
      </c>
      <c r="M152" s="14" t="s">
        <v>29</v>
      </c>
      <c r="N152" s="14" t="s">
        <v>29</v>
      </c>
      <c r="O152" s="14" t="s">
        <v>29</v>
      </c>
      <c r="P152" s="14" t="s">
        <v>29</v>
      </c>
      <c r="Q152" s="13">
        <v>430560.7</v>
      </c>
      <c r="R152" s="13">
        <v>184520.19</v>
      </c>
      <c r="S152" s="15">
        <v>225.53</v>
      </c>
    </row>
    <row r="153" spans="1:19" x14ac:dyDescent="0.25">
      <c r="A153" s="9">
        <v>432</v>
      </c>
      <c r="B153" s="10" t="s">
        <v>235</v>
      </c>
      <c r="C153" s="11">
        <v>466</v>
      </c>
      <c r="D153" s="10" t="s">
        <v>234</v>
      </c>
      <c r="E153" s="12">
        <v>10</v>
      </c>
      <c r="F153" s="9">
        <v>1989</v>
      </c>
      <c r="G153" s="13">
        <v>2471984.8199999998</v>
      </c>
      <c r="H153" s="13">
        <v>1096367.44</v>
      </c>
      <c r="I153" s="13">
        <v>1297.46</v>
      </c>
      <c r="J153" s="14" t="s">
        <v>29</v>
      </c>
      <c r="K153" s="14" t="s">
        <v>29</v>
      </c>
      <c r="L153" s="14" t="s">
        <v>29</v>
      </c>
      <c r="M153" s="14" t="s">
        <v>29</v>
      </c>
      <c r="N153" s="14" t="s">
        <v>29</v>
      </c>
      <c r="O153" s="14" t="s">
        <v>29</v>
      </c>
      <c r="P153" s="14" t="s">
        <v>29</v>
      </c>
      <c r="Q153" s="13">
        <v>2471984.8199999998</v>
      </c>
      <c r="R153" s="13">
        <v>1095069.98</v>
      </c>
      <c r="S153" s="13">
        <v>1297.46</v>
      </c>
    </row>
    <row r="154" spans="1:19" x14ac:dyDescent="0.25">
      <c r="A154" s="9">
        <v>433</v>
      </c>
      <c r="B154" s="10" t="s">
        <v>236</v>
      </c>
      <c r="C154" s="11">
        <v>467</v>
      </c>
      <c r="D154" s="10" t="s">
        <v>234</v>
      </c>
      <c r="E154" s="12">
        <v>4</v>
      </c>
      <c r="F154" s="9">
        <v>1989</v>
      </c>
      <c r="G154" s="13">
        <v>249365.55</v>
      </c>
      <c r="H154" s="13">
        <v>103096.25</v>
      </c>
      <c r="I154" s="15">
        <v>130.88</v>
      </c>
      <c r="J154" s="14" t="s">
        <v>29</v>
      </c>
      <c r="K154" s="14" t="s">
        <v>29</v>
      </c>
      <c r="L154" s="14" t="s">
        <v>29</v>
      </c>
      <c r="M154" s="14" t="s">
        <v>29</v>
      </c>
      <c r="N154" s="14" t="s">
        <v>29</v>
      </c>
      <c r="O154" s="14" t="s">
        <v>29</v>
      </c>
      <c r="P154" s="14" t="s">
        <v>29</v>
      </c>
      <c r="Q154" s="13">
        <v>249365.55</v>
      </c>
      <c r="R154" s="13">
        <v>102965.37</v>
      </c>
      <c r="S154" s="15">
        <v>130.88</v>
      </c>
    </row>
    <row r="155" spans="1:19" x14ac:dyDescent="0.25">
      <c r="A155" s="9">
        <v>434</v>
      </c>
      <c r="B155" s="10" t="s">
        <v>237</v>
      </c>
      <c r="C155" s="11">
        <v>468</v>
      </c>
      <c r="D155" s="10" t="s">
        <v>238</v>
      </c>
      <c r="E155" s="12">
        <v>85</v>
      </c>
      <c r="F155" s="9">
        <v>1989</v>
      </c>
      <c r="G155" s="13">
        <v>100821.57</v>
      </c>
      <c r="H155" s="13">
        <v>35929.97</v>
      </c>
      <c r="I155" s="15">
        <v>52.92</v>
      </c>
      <c r="J155" s="14" t="s">
        <v>29</v>
      </c>
      <c r="K155" s="14" t="s">
        <v>29</v>
      </c>
      <c r="L155" s="14" t="s">
        <v>29</v>
      </c>
      <c r="M155" s="14" t="s">
        <v>29</v>
      </c>
      <c r="N155" s="14" t="s">
        <v>29</v>
      </c>
      <c r="O155" s="14" t="s">
        <v>29</v>
      </c>
      <c r="P155" s="14" t="s">
        <v>29</v>
      </c>
      <c r="Q155" s="13">
        <v>100821.57</v>
      </c>
      <c r="R155" s="13">
        <v>35877.050000000003</v>
      </c>
      <c r="S155" s="15">
        <v>52.92</v>
      </c>
    </row>
    <row r="156" spans="1:19" x14ac:dyDescent="0.25">
      <c r="A156" s="9">
        <v>436</v>
      </c>
      <c r="B156" s="10" t="s">
        <v>239</v>
      </c>
      <c r="C156" s="11">
        <v>470</v>
      </c>
      <c r="D156" s="10" t="s">
        <v>240</v>
      </c>
      <c r="E156" s="12">
        <v>1</v>
      </c>
      <c r="F156" s="9">
        <v>1989</v>
      </c>
      <c r="G156" s="13">
        <v>160444.76</v>
      </c>
      <c r="H156" s="13">
        <v>59313.3</v>
      </c>
      <c r="I156" s="15">
        <v>84.21</v>
      </c>
      <c r="J156" s="14" t="s">
        <v>29</v>
      </c>
      <c r="K156" s="14" t="s">
        <v>29</v>
      </c>
      <c r="L156" s="14" t="s">
        <v>29</v>
      </c>
      <c r="M156" s="14" t="s">
        <v>29</v>
      </c>
      <c r="N156" s="14" t="s">
        <v>29</v>
      </c>
      <c r="O156" s="14" t="s">
        <v>29</v>
      </c>
      <c r="P156" s="14" t="s">
        <v>29</v>
      </c>
      <c r="Q156" s="13">
        <v>160444.76</v>
      </c>
      <c r="R156" s="13">
        <v>59229.09</v>
      </c>
      <c r="S156" s="15">
        <v>84.21</v>
      </c>
    </row>
    <row r="157" spans="1:19" x14ac:dyDescent="0.25">
      <c r="A157" s="9">
        <v>437</v>
      </c>
      <c r="B157" s="10" t="s">
        <v>241</v>
      </c>
      <c r="C157" s="11">
        <v>471</v>
      </c>
      <c r="D157" s="10" t="s">
        <v>234</v>
      </c>
      <c r="E157" s="12">
        <v>6</v>
      </c>
      <c r="F157" s="9">
        <v>1986</v>
      </c>
      <c r="G157" s="13">
        <v>317608.21999999997</v>
      </c>
      <c r="H157" s="13">
        <v>127326.46</v>
      </c>
      <c r="I157" s="15">
        <v>168.94</v>
      </c>
      <c r="J157" s="14" t="s">
        <v>29</v>
      </c>
      <c r="K157" s="14" t="s">
        <v>29</v>
      </c>
      <c r="L157" s="14" t="s">
        <v>29</v>
      </c>
      <c r="M157" s="14" t="s">
        <v>29</v>
      </c>
      <c r="N157" s="14" t="s">
        <v>29</v>
      </c>
      <c r="O157" s="14" t="s">
        <v>29</v>
      </c>
      <c r="P157" s="14" t="s">
        <v>29</v>
      </c>
      <c r="Q157" s="13">
        <v>317608.21999999997</v>
      </c>
      <c r="R157" s="13">
        <v>127157.52</v>
      </c>
      <c r="S157" s="15">
        <v>168.94</v>
      </c>
    </row>
    <row r="158" spans="1:19" x14ac:dyDescent="0.25">
      <c r="A158" s="9">
        <v>438</v>
      </c>
      <c r="B158" s="10" t="s">
        <v>242</v>
      </c>
      <c r="C158" s="11">
        <v>472</v>
      </c>
      <c r="D158" s="10" t="s">
        <v>234</v>
      </c>
      <c r="E158" s="12">
        <v>2</v>
      </c>
      <c r="F158" s="9">
        <v>1988</v>
      </c>
      <c r="G158" s="13">
        <v>1211106.72</v>
      </c>
      <c r="H158" s="13">
        <v>532628.5</v>
      </c>
      <c r="I158" s="15">
        <v>638.45000000000005</v>
      </c>
      <c r="J158" s="14" t="s">
        <v>29</v>
      </c>
      <c r="K158" s="14" t="s">
        <v>29</v>
      </c>
      <c r="L158" s="14" t="s">
        <v>29</v>
      </c>
      <c r="M158" s="14" t="s">
        <v>29</v>
      </c>
      <c r="N158" s="14" t="s">
        <v>29</v>
      </c>
      <c r="O158" s="14" t="s">
        <v>29</v>
      </c>
      <c r="P158" s="14" t="s">
        <v>29</v>
      </c>
      <c r="Q158" s="13">
        <v>1211106.72</v>
      </c>
      <c r="R158" s="13">
        <v>531990.05000000005</v>
      </c>
      <c r="S158" s="15">
        <v>638.45000000000005</v>
      </c>
    </row>
    <row r="159" spans="1:19" x14ac:dyDescent="0.25">
      <c r="A159" s="9">
        <v>439</v>
      </c>
      <c r="B159" s="10" t="s">
        <v>243</v>
      </c>
      <c r="C159" s="11">
        <v>473</v>
      </c>
      <c r="D159" s="10" t="s">
        <v>234</v>
      </c>
      <c r="E159" s="12">
        <v>24</v>
      </c>
      <c r="F159" s="9">
        <v>1988</v>
      </c>
      <c r="G159" s="13">
        <v>532705.21</v>
      </c>
      <c r="H159" s="13">
        <v>224805.33</v>
      </c>
      <c r="I159" s="15">
        <v>279.01</v>
      </c>
      <c r="J159" s="14" t="s">
        <v>29</v>
      </c>
      <c r="K159" s="14" t="s">
        <v>29</v>
      </c>
      <c r="L159" s="14" t="s">
        <v>29</v>
      </c>
      <c r="M159" s="14" t="s">
        <v>29</v>
      </c>
      <c r="N159" s="14" t="s">
        <v>29</v>
      </c>
      <c r="O159" s="14" t="s">
        <v>29</v>
      </c>
      <c r="P159" s="14" t="s">
        <v>29</v>
      </c>
      <c r="Q159" s="13">
        <v>532705.21</v>
      </c>
      <c r="R159" s="13">
        <v>224526.32</v>
      </c>
      <c r="S159" s="15">
        <v>279.01</v>
      </c>
    </row>
    <row r="160" spans="1:19" x14ac:dyDescent="0.25">
      <c r="A160" s="9">
        <v>440</v>
      </c>
      <c r="B160" s="10" t="s">
        <v>244</v>
      </c>
      <c r="C160" s="11">
        <v>474</v>
      </c>
      <c r="D160" s="10" t="s">
        <v>234</v>
      </c>
      <c r="E160" s="12">
        <v>22</v>
      </c>
      <c r="F160" s="9">
        <v>1988</v>
      </c>
      <c r="G160" s="13">
        <v>1235871.54</v>
      </c>
      <c r="H160" s="13">
        <v>265946.15000000002</v>
      </c>
      <c r="I160" s="15">
        <v>328.96</v>
      </c>
      <c r="J160" s="14" t="s">
        <v>29</v>
      </c>
      <c r="K160" s="14" t="s">
        <v>29</v>
      </c>
      <c r="L160" s="14" t="s">
        <v>29</v>
      </c>
      <c r="M160" s="14" t="s">
        <v>29</v>
      </c>
      <c r="N160" s="14" t="s">
        <v>29</v>
      </c>
      <c r="O160" s="14" t="s">
        <v>29</v>
      </c>
      <c r="P160" s="14" t="s">
        <v>29</v>
      </c>
      <c r="Q160" s="13">
        <v>1235871.54</v>
      </c>
      <c r="R160" s="13">
        <v>265617.19</v>
      </c>
      <c r="S160" s="15">
        <v>328.96</v>
      </c>
    </row>
    <row r="161" spans="1:19" x14ac:dyDescent="0.25">
      <c r="A161" s="9">
        <v>441</v>
      </c>
      <c r="B161" s="10" t="s">
        <v>245</v>
      </c>
      <c r="C161" s="11">
        <v>475</v>
      </c>
      <c r="D161" s="10" t="s">
        <v>234</v>
      </c>
      <c r="E161" s="12">
        <v>20</v>
      </c>
      <c r="F161" s="9">
        <v>1987</v>
      </c>
      <c r="G161" s="13">
        <v>217443.54</v>
      </c>
      <c r="H161" s="13">
        <v>84706.62</v>
      </c>
      <c r="I161" s="15">
        <v>114.64</v>
      </c>
      <c r="J161" s="14" t="s">
        <v>29</v>
      </c>
      <c r="K161" s="14" t="s">
        <v>29</v>
      </c>
      <c r="L161" s="14" t="s">
        <v>29</v>
      </c>
      <c r="M161" s="14" t="s">
        <v>29</v>
      </c>
      <c r="N161" s="14" t="s">
        <v>29</v>
      </c>
      <c r="O161" s="14" t="s">
        <v>29</v>
      </c>
      <c r="P161" s="14" t="s">
        <v>29</v>
      </c>
      <c r="Q161" s="13">
        <v>217443.54</v>
      </c>
      <c r="R161" s="13">
        <v>84591.98</v>
      </c>
      <c r="S161" s="15">
        <v>114.64</v>
      </c>
    </row>
    <row r="162" spans="1:19" x14ac:dyDescent="0.25">
      <c r="A162" s="9">
        <v>443</v>
      </c>
      <c r="B162" s="10" t="s">
        <v>246</v>
      </c>
      <c r="C162" s="11">
        <v>477</v>
      </c>
      <c r="D162" s="10" t="s">
        <v>247</v>
      </c>
      <c r="E162" s="12">
        <v>38</v>
      </c>
      <c r="F162" s="9">
        <v>1985</v>
      </c>
      <c r="G162" s="13">
        <v>522068.59</v>
      </c>
      <c r="H162" s="13">
        <v>220076.77</v>
      </c>
      <c r="I162" s="15">
        <v>281.45</v>
      </c>
      <c r="J162" s="14" t="s">
        <v>29</v>
      </c>
      <c r="K162" s="14" t="s">
        <v>29</v>
      </c>
      <c r="L162" s="14" t="s">
        <v>29</v>
      </c>
      <c r="M162" s="14" t="s">
        <v>29</v>
      </c>
      <c r="N162" s="14" t="s">
        <v>29</v>
      </c>
      <c r="O162" s="14" t="s">
        <v>29</v>
      </c>
      <c r="P162" s="14" t="s">
        <v>29</v>
      </c>
      <c r="Q162" s="13">
        <v>522068.59</v>
      </c>
      <c r="R162" s="13">
        <v>219795.32</v>
      </c>
      <c r="S162" s="15">
        <v>281.45</v>
      </c>
    </row>
    <row r="163" spans="1:19" x14ac:dyDescent="0.25">
      <c r="A163" s="9">
        <v>444</v>
      </c>
      <c r="B163" s="10" t="s">
        <v>248</v>
      </c>
      <c r="C163" s="11">
        <v>478</v>
      </c>
      <c r="D163" s="10" t="s">
        <v>234</v>
      </c>
      <c r="E163" s="12">
        <v>8</v>
      </c>
      <c r="F163" s="9">
        <v>1989</v>
      </c>
      <c r="G163" s="13">
        <v>166434.98000000001</v>
      </c>
      <c r="H163" s="13">
        <v>67225.539999999994</v>
      </c>
      <c r="I163" s="15">
        <v>90.52</v>
      </c>
      <c r="J163" s="14" t="s">
        <v>29</v>
      </c>
      <c r="K163" s="14" t="s">
        <v>29</v>
      </c>
      <c r="L163" s="14" t="s">
        <v>29</v>
      </c>
      <c r="M163" s="14" t="s">
        <v>29</v>
      </c>
      <c r="N163" s="14" t="s">
        <v>29</v>
      </c>
      <c r="O163" s="14" t="s">
        <v>29</v>
      </c>
      <c r="P163" s="14" t="s">
        <v>29</v>
      </c>
      <c r="Q163" s="13">
        <v>166434.98000000001</v>
      </c>
      <c r="R163" s="13">
        <v>67135.02</v>
      </c>
      <c r="S163" s="15">
        <v>90.52</v>
      </c>
    </row>
    <row r="164" spans="1:19" x14ac:dyDescent="0.25">
      <c r="A164" s="9">
        <v>445</v>
      </c>
      <c r="B164" s="10" t="s">
        <v>249</v>
      </c>
      <c r="C164" s="11">
        <v>479</v>
      </c>
      <c r="D164" s="10" t="s">
        <v>234</v>
      </c>
      <c r="E164" s="12">
        <v>26</v>
      </c>
      <c r="F164" s="9">
        <v>1990</v>
      </c>
      <c r="G164" s="13">
        <v>219921.57</v>
      </c>
      <c r="H164" s="13">
        <v>91076.27</v>
      </c>
      <c r="I164" s="15">
        <v>113.15</v>
      </c>
      <c r="J164" s="14" t="s">
        <v>29</v>
      </c>
      <c r="K164" s="14" t="s">
        <v>29</v>
      </c>
      <c r="L164" s="14" t="s">
        <v>29</v>
      </c>
      <c r="M164" s="14" t="s">
        <v>29</v>
      </c>
      <c r="N164" s="14" t="s">
        <v>29</v>
      </c>
      <c r="O164" s="14" t="s">
        <v>29</v>
      </c>
      <c r="P164" s="14" t="s">
        <v>29</v>
      </c>
      <c r="Q164" s="13">
        <v>219921.57</v>
      </c>
      <c r="R164" s="13">
        <v>90963.12</v>
      </c>
      <c r="S164" s="15">
        <v>113.15</v>
      </c>
    </row>
    <row r="165" spans="1:19" x14ac:dyDescent="0.25">
      <c r="A165" s="9">
        <v>448</v>
      </c>
      <c r="B165" s="10" t="s">
        <v>250</v>
      </c>
      <c r="C165" s="11">
        <v>482</v>
      </c>
      <c r="D165" s="10" t="s">
        <v>94</v>
      </c>
      <c r="E165" s="12">
        <v>117</v>
      </c>
      <c r="F165" s="9">
        <v>1974</v>
      </c>
      <c r="G165" s="13">
        <v>139016.01999999999</v>
      </c>
      <c r="H165" s="13">
        <v>45169.37</v>
      </c>
      <c r="I165" s="15">
        <v>74.48</v>
      </c>
      <c r="J165" s="14" t="s">
        <v>29</v>
      </c>
      <c r="K165" s="14" t="s">
        <v>29</v>
      </c>
      <c r="L165" s="14" t="s">
        <v>29</v>
      </c>
      <c r="M165" s="14" t="s">
        <v>29</v>
      </c>
      <c r="N165" s="14" t="s">
        <v>29</v>
      </c>
      <c r="O165" s="14" t="s">
        <v>29</v>
      </c>
      <c r="P165" s="14" t="s">
        <v>29</v>
      </c>
      <c r="Q165" s="13">
        <v>139016.01999999999</v>
      </c>
      <c r="R165" s="13">
        <v>45094.89</v>
      </c>
      <c r="S165" s="15">
        <v>74.48</v>
      </c>
    </row>
    <row r="166" spans="1:19" x14ac:dyDescent="0.25">
      <c r="A166" s="9">
        <v>451</v>
      </c>
      <c r="B166" s="10" t="s">
        <v>251</v>
      </c>
      <c r="C166" s="11">
        <v>485</v>
      </c>
      <c r="D166" s="10" t="s">
        <v>252</v>
      </c>
      <c r="E166" s="12">
        <v>141</v>
      </c>
      <c r="F166" s="9">
        <v>1925</v>
      </c>
      <c r="G166" s="13">
        <v>189124.43</v>
      </c>
      <c r="H166" s="13">
        <v>15071.76</v>
      </c>
      <c r="I166" s="15">
        <v>98.65</v>
      </c>
      <c r="J166" s="14" t="s">
        <v>29</v>
      </c>
      <c r="K166" s="14" t="s">
        <v>29</v>
      </c>
      <c r="L166" s="14" t="s">
        <v>29</v>
      </c>
      <c r="M166" s="14" t="s">
        <v>29</v>
      </c>
      <c r="N166" s="14" t="s">
        <v>29</v>
      </c>
      <c r="O166" s="14" t="s">
        <v>29</v>
      </c>
      <c r="P166" s="14" t="s">
        <v>29</v>
      </c>
      <c r="Q166" s="13">
        <v>189124.43</v>
      </c>
      <c r="R166" s="13">
        <v>14973.11</v>
      </c>
      <c r="S166" s="15">
        <v>98.65</v>
      </c>
    </row>
    <row r="167" spans="1:19" x14ac:dyDescent="0.25">
      <c r="A167" s="9">
        <v>454</v>
      </c>
      <c r="B167" s="10" t="s">
        <v>253</v>
      </c>
      <c r="C167" s="11">
        <v>489</v>
      </c>
      <c r="D167" s="10" t="s">
        <v>247</v>
      </c>
      <c r="E167" s="12">
        <v>57</v>
      </c>
      <c r="F167" s="9">
        <v>1918</v>
      </c>
      <c r="G167" s="13">
        <v>411126.97</v>
      </c>
      <c r="H167" s="13">
        <v>70571.39</v>
      </c>
      <c r="I167" s="15">
        <v>457.09</v>
      </c>
      <c r="J167" s="14" t="s">
        <v>29</v>
      </c>
      <c r="K167" s="14" t="s">
        <v>29</v>
      </c>
      <c r="L167" s="14" t="s">
        <v>29</v>
      </c>
      <c r="M167" s="14" t="s">
        <v>29</v>
      </c>
      <c r="N167" s="14" t="s">
        <v>29</v>
      </c>
      <c r="O167" s="14" t="s">
        <v>29</v>
      </c>
      <c r="P167" s="14" t="s">
        <v>29</v>
      </c>
      <c r="Q167" s="13">
        <v>411126.97</v>
      </c>
      <c r="R167" s="13">
        <v>70114.3</v>
      </c>
      <c r="S167" s="15">
        <v>457.09</v>
      </c>
    </row>
    <row r="168" spans="1:19" x14ac:dyDescent="0.25">
      <c r="A168" s="9">
        <v>455</v>
      </c>
      <c r="B168" s="10" t="s">
        <v>254</v>
      </c>
      <c r="C168" s="11">
        <v>490</v>
      </c>
      <c r="D168" s="10" t="s">
        <v>37</v>
      </c>
      <c r="E168" s="12">
        <v>54</v>
      </c>
      <c r="F168" s="9">
        <v>1895</v>
      </c>
      <c r="G168" s="13">
        <v>218689.52</v>
      </c>
      <c r="H168" s="13">
        <v>46990.9</v>
      </c>
      <c r="I168" s="15">
        <v>305.77999999999997</v>
      </c>
      <c r="J168" s="14" t="s">
        <v>29</v>
      </c>
      <c r="K168" s="14" t="s">
        <v>29</v>
      </c>
      <c r="L168" s="14" t="s">
        <v>29</v>
      </c>
      <c r="M168" s="14" t="s">
        <v>29</v>
      </c>
      <c r="N168" s="14" t="s">
        <v>29</v>
      </c>
      <c r="O168" s="14" t="s">
        <v>29</v>
      </c>
      <c r="P168" s="14" t="s">
        <v>29</v>
      </c>
      <c r="Q168" s="13">
        <v>218689.52</v>
      </c>
      <c r="R168" s="13">
        <v>46685.120000000003</v>
      </c>
      <c r="S168" s="15">
        <v>305.77999999999997</v>
      </c>
    </row>
    <row r="169" spans="1:19" x14ac:dyDescent="0.25">
      <c r="A169" s="9">
        <v>460</v>
      </c>
      <c r="B169" s="10" t="s">
        <v>255</v>
      </c>
      <c r="C169" s="11">
        <v>495</v>
      </c>
      <c r="D169" s="10" t="s">
        <v>256</v>
      </c>
      <c r="E169" s="12">
        <v>20</v>
      </c>
      <c r="F169" s="9">
        <v>1957</v>
      </c>
      <c r="G169" s="13">
        <v>35416.69</v>
      </c>
      <c r="H169" s="13">
        <v>7431.39</v>
      </c>
      <c r="I169" s="15">
        <v>15.93</v>
      </c>
      <c r="J169" s="14" t="s">
        <v>29</v>
      </c>
      <c r="K169" s="14" t="s">
        <v>29</v>
      </c>
      <c r="L169" s="14" t="s">
        <v>29</v>
      </c>
      <c r="M169" s="14" t="s">
        <v>29</v>
      </c>
      <c r="N169" s="14" t="s">
        <v>29</v>
      </c>
      <c r="O169" s="14" t="s">
        <v>29</v>
      </c>
      <c r="P169" s="14" t="s">
        <v>29</v>
      </c>
      <c r="Q169" s="13">
        <v>35416.69</v>
      </c>
      <c r="R169" s="13">
        <v>7415.46</v>
      </c>
      <c r="S169" s="15">
        <v>15.93</v>
      </c>
    </row>
    <row r="170" spans="1:19" x14ac:dyDescent="0.25">
      <c r="A170" s="9">
        <v>467</v>
      </c>
      <c r="B170" s="10" t="s">
        <v>257</v>
      </c>
      <c r="C170" s="11">
        <v>502</v>
      </c>
      <c r="D170" s="10" t="s">
        <v>258</v>
      </c>
      <c r="E170" s="12">
        <v>71</v>
      </c>
      <c r="F170" s="9">
        <v>1957</v>
      </c>
      <c r="G170" s="13">
        <v>201422.61</v>
      </c>
      <c r="H170" s="13">
        <v>42263.83</v>
      </c>
      <c r="I170" s="15">
        <v>90.62</v>
      </c>
      <c r="J170" s="14" t="s">
        <v>29</v>
      </c>
      <c r="K170" s="14" t="s">
        <v>29</v>
      </c>
      <c r="L170" s="14" t="s">
        <v>29</v>
      </c>
      <c r="M170" s="14" t="s">
        <v>29</v>
      </c>
      <c r="N170" s="14" t="s">
        <v>29</v>
      </c>
      <c r="O170" s="14" t="s">
        <v>29</v>
      </c>
      <c r="P170" s="14" t="s">
        <v>29</v>
      </c>
      <c r="Q170" s="13">
        <v>201422.61</v>
      </c>
      <c r="R170" s="13">
        <v>42173.21</v>
      </c>
      <c r="S170" s="15">
        <v>90.62</v>
      </c>
    </row>
    <row r="171" spans="1:19" x14ac:dyDescent="0.25">
      <c r="A171" s="9">
        <v>477</v>
      </c>
      <c r="B171" s="10" t="s">
        <v>259</v>
      </c>
      <c r="C171" s="11">
        <v>512</v>
      </c>
      <c r="D171" s="10" t="s">
        <v>37</v>
      </c>
      <c r="E171" s="12">
        <v>52</v>
      </c>
      <c r="F171" s="9">
        <v>1895</v>
      </c>
      <c r="G171" s="13">
        <v>580621.42000000004</v>
      </c>
      <c r="H171" s="13">
        <v>179460.71</v>
      </c>
      <c r="I171" s="13">
        <v>1162.3599999999999</v>
      </c>
      <c r="J171" s="14" t="s">
        <v>29</v>
      </c>
      <c r="K171" s="14" t="s">
        <v>29</v>
      </c>
      <c r="L171" s="14" t="s">
        <v>29</v>
      </c>
      <c r="M171" s="14" t="s">
        <v>29</v>
      </c>
      <c r="N171" s="14" t="s">
        <v>29</v>
      </c>
      <c r="O171" s="14" t="s">
        <v>29</v>
      </c>
      <c r="P171" s="14" t="s">
        <v>29</v>
      </c>
      <c r="Q171" s="13">
        <v>580621.42000000004</v>
      </c>
      <c r="R171" s="13">
        <v>178298.35</v>
      </c>
      <c r="S171" s="13">
        <v>1162.3599999999999</v>
      </c>
    </row>
    <row r="172" spans="1:19" x14ac:dyDescent="0.25">
      <c r="A172" s="9">
        <v>479</v>
      </c>
      <c r="B172" s="10" t="s">
        <v>260</v>
      </c>
      <c r="C172" s="11">
        <v>514</v>
      </c>
      <c r="D172" s="10" t="s">
        <v>261</v>
      </c>
      <c r="E172" s="12">
        <v>35</v>
      </c>
      <c r="F172" s="9">
        <v>1912</v>
      </c>
      <c r="G172" s="13">
        <v>78511.69</v>
      </c>
      <c r="H172" s="13">
        <v>11570.19</v>
      </c>
      <c r="I172" s="15">
        <v>76.209999999999994</v>
      </c>
      <c r="J172" s="14" t="s">
        <v>29</v>
      </c>
      <c r="K172" s="14" t="s">
        <v>29</v>
      </c>
      <c r="L172" s="14" t="s">
        <v>29</v>
      </c>
      <c r="M172" s="14" t="s">
        <v>29</v>
      </c>
      <c r="N172" s="14" t="s">
        <v>29</v>
      </c>
      <c r="O172" s="14" t="s">
        <v>29</v>
      </c>
      <c r="P172" s="14" t="s">
        <v>29</v>
      </c>
      <c r="Q172" s="13">
        <v>78511.69</v>
      </c>
      <c r="R172" s="13">
        <v>11493.98</v>
      </c>
      <c r="S172" s="15">
        <v>76.209999999999994</v>
      </c>
    </row>
    <row r="173" spans="1:19" x14ac:dyDescent="0.25">
      <c r="A173" s="9">
        <v>486</v>
      </c>
      <c r="B173" s="10" t="s">
        <v>262</v>
      </c>
      <c r="C173" s="11">
        <v>521</v>
      </c>
      <c r="D173" s="10" t="s">
        <v>94</v>
      </c>
      <c r="E173" s="12">
        <v>78</v>
      </c>
      <c r="F173" s="9">
        <v>1925</v>
      </c>
      <c r="G173" s="13">
        <v>160809.48000000001</v>
      </c>
      <c r="H173" s="14" t="s">
        <v>29</v>
      </c>
      <c r="I173" s="14" t="s">
        <v>29</v>
      </c>
      <c r="J173" s="14" t="s">
        <v>29</v>
      </c>
      <c r="K173" s="14" t="s">
        <v>29</v>
      </c>
      <c r="L173" s="14" t="s">
        <v>29</v>
      </c>
      <c r="M173" s="14" t="s">
        <v>29</v>
      </c>
      <c r="N173" s="14" t="s">
        <v>29</v>
      </c>
      <c r="O173" s="14" t="s">
        <v>29</v>
      </c>
      <c r="P173" s="14" t="s">
        <v>29</v>
      </c>
      <c r="Q173" s="13">
        <v>160809.48000000001</v>
      </c>
      <c r="R173" s="14" t="s">
        <v>29</v>
      </c>
      <c r="S173" s="14" t="s">
        <v>29</v>
      </c>
    </row>
    <row r="174" spans="1:19" x14ac:dyDescent="0.25">
      <c r="A174" s="9">
        <v>487</v>
      </c>
      <c r="B174" s="10" t="s">
        <v>263</v>
      </c>
      <c r="C174" s="11">
        <v>522</v>
      </c>
      <c r="D174" s="10" t="s">
        <v>252</v>
      </c>
      <c r="E174" s="12">
        <v>162</v>
      </c>
      <c r="F174" s="9">
        <v>1907</v>
      </c>
      <c r="G174" s="13">
        <v>70309.119999999995</v>
      </c>
      <c r="H174" s="13">
        <v>9881.15</v>
      </c>
      <c r="I174" s="15">
        <v>65.97</v>
      </c>
      <c r="J174" s="14" t="s">
        <v>29</v>
      </c>
      <c r="K174" s="14" t="s">
        <v>29</v>
      </c>
      <c r="L174" s="14" t="s">
        <v>29</v>
      </c>
      <c r="M174" s="14" t="s">
        <v>29</v>
      </c>
      <c r="N174" s="14" t="s">
        <v>29</v>
      </c>
      <c r="O174" s="14" t="s">
        <v>29</v>
      </c>
      <c r="P174" s="14" t="s">
        <v>29</v>
      </c>
      <c r="Q174" s="13">
        <v>70309.119999999995</v>
      </c>
      <c r="R174" s="13">
        <v>9815.18</v>
      </c>
      <c r="S174" s="15">
        <v>65.97</v>
      </c>
    </row>
    <row r="175" spans="1:19" x14ac:dyDescent="0.25">
      <c r="A175" s="9">
        <v>490</v>
      </c>
      <c r="B175" s="10" t="s">
        <v>264</v>
      </c>
      <c r="C175" s="11">
        <v>525</v>
      </c>
      <c r="D175" s="10" t="s">
        <v>252</v>
      </c>
      <c r="E175" s="12">
        <v>68</v>
      </c>
      <c r="F175" s="9">
        <v>1952</v>
      </c>
      <c r="G175" s="13">
        <v>40759.85</v>
      </c>
      <c r="H175" s="14" t="s">
        <v>29</v>
      </c>
      <c r="I175" s="14" t="s">
        <v>29</v>
      </c>
      <c r="J175" s="14" t="s">
        <v>29</v>
      </c>
      <c r="K175" s="14" t="s">
        <v>29</v>
      </c>
      <c r="L175" s="14" t="s">
        <v>29</v>
      </c>
      <c r="M175" s="14" t="s">
        <v>29</v>
      </c>
      <c r="N175" s="14" t="s">
        <v>29</v>
      </c>
      <c r="O175" s="14" t="s">
        <v>29</v>
      </c>
      <c r="P175" s="14" t="s">
        <v>29</v>
      </c>
      <c r="Q175" s="13">
        <v>40759.85</v>
      </c>
      <c r="R175" s="14" t="s">
        <v>29</v>
      </c>
      <c r="S175" s="14" t="s">
        <v>29</v>
      </c>
    </row>
    <row r="176" spans="1:19" x14ac:dyDescent="0.25">
      <c r="A176" s="9">
        <v>495</v>
      </c>
      <c r="B176" s="10" t="s">
        <v>265</v>
      </c>
      <c r="C176" s="11">
        <v>530</v>
      </c>
      <c r="D176" s="10" t="s">
        <v>266</v>
      </c>
      <c r="E176" s="12">
        <v>9</v>
      </c>
      <c r="F176" s="9">
        <v>1905</v>
      </c>
      <c r="G176" s="13">
        <v>81634.87</v>
      </c>
      <c r="H176" s="13">
        <v>2061.0100000000002</v>
      </c>
      <c r="I176" s="15">
        <v>13.63</v>
      </c>
      <c r="J176" s="14" t="s">
        <v>29</v>
      </c>
      <c r="K176" s="14" t="s">
        <v>29</v>
      </c>
      <c r="L176" s="14" t="s">
        <v>29</v>
      </c>
      <c r="M176" s="14" t="s">
        <v>29</v>
      </c>
      <c r="N176" s="14" t="s">
        <v>29</v>
      </c>
      <c r="O176" s="14" t="s">
        <v>29</v>
      </c>
      <c r="P176" s="14" t="s">
        <v>29</v>
      </c>
      <c r="Q176" s="13">
        <v>81634.87</v>
      </c>
      <c r="R176" s="13">
        <v>2047.38</v>
      </c>
      <c r="S176" s="15">
        <v>13.63</v>
      </c>
    </row>
    <row r="177" spans="1:19" x14ac:dyDescent="0.25">
      <c r="A177" s="9">
        <v>497</v>
      </c>
      <c r="B177" s="10" t="s">
        <v>267</v>
      </c>
      <c r="C177" s="11">
        <v>532</v>
      </c>
      <c r="D177" s="10" t="s">
        <v>37</v>
      </c>
      <c r="E177" s="10" t="s">
        <v>268</v>
      </c>
      <c r="F177" s="9">
        <v>1872</v>
      </c>
      <c r="G177" s="13">
        <v>21807.62</v>
      </c>
      <c r="H177" s="14" t="s">
        <v>29</v>
      </c>
      <c r="I177" s="14" t="s">
        <v>29</v>
      </c>
      <c r="J177" s="14" t="s">
        <v>29</v>
      </c>
      <c r="K177" s="14" t="s">
        <v>29</v>
      </c>
      <c r="L177" s="14" t="s">
        <v>29</v>
      </c>
      <c r="M177" s="14" t="s">
        <v>29</v>
      </c>
      <c r="N177" s="14" t="s">
        <v>29</v>
      </c>
      <c r="O177" s="14" t="s">
        <v>29</v>
      </c>
      <c r="P177" s="14" t="s">
        <v>29</v>
      </c>
      <c r="Q177" s="13">
        <v>21807.62</v>
      </c>
      <c r="R177" s="14" t="s">
        <v>29</v>
      </c>
      <c r="S177" s="14" t="s">
        <v>29</v>
      </c>
    </row>
    <row r="178" spans="1:19" x14ac:dyDescent="0.25">
      <c r="A178" s="9">
        <v>499</v>
      </c>
      <c r="B178" s="10" t="s">
        <v>269</v>
      </c>
      <c r="C178" s="11">
        <v>534</v>
      </c>
      <c r="D178" s="10" t="s">
        <v>37</v>
      </c>
      <c r="E178" s="12">
        <v>125</v>
      </c>
      <c r="F178" s="9">
        <v>1900</v>
      </c>
      <c r="G178" s="13">
        <v>113331.84</v>
      </c>
      <c r="H178" s="14" t="s">
        <v>29</v>
      </c>
      <c r="I178" s="14" t="s">
        <v>29</v>
      </c>
      <c r="J178" s="14" t="s">
        <v>29</v>
      </c>
      <c r="K178" s="14" t="s">
        <v>29</v>
      </c>
      <c r="L178" s="14" t="s">
        <v>29</v>
      </c>
      <c r="M178" s="14" t="s">
        <v>29</v>
      </c>
      <c r="N178" s="14" t="s">
        <v>29</v>
      </c>
      <c r="O178" s="14" t="s">
        <v>29</v>
      </c>
      <c r="P178" s="14" t="s">
        <v>29</v>
      </c>
      <c r="Q178" s="13">
        <v>113331.84</v>
      </c>
      <c r="R178" s="14" t="s">
        <v>29</v>
      </c>
      <c r="S178" s="14" t="s">
        <v>29</v>
      </c>
    </row>
    <row r="179" spans="1:19" x14ac:dyDescent="0.25">
      <c r="A179" s="9">
        <v>504</v>
      </c>
      <c r="B179" s="10" t="s">
        <v>270</v>
      </c>
      <c r="C179" s="11">
        <v>544</v>
      </c>
      <c r="D179" s="10" t="s">
        <v>234</v>
      </c>
      <c r="E179" s="12">
        <v>32</v>
      </c>
      <c r="F179" s="9">
        <v>2000</v>
      </c>
      <c r="G179" s="13">
        <v>1199728.1299999999</v>
      </c>
      <c r="H179" s="13">
        <v>677269.68</v>
      </c>
      <c r="I179" s="15">
        <v>700.46</v>
      </c>
      <c r="J179" s="14" t="s">
        <v>29</v>
      </c>
      <c r="K179" s="14" t="s">
        <v>29</v>
      </c>
      <c r="L179" s="14" t="s">
        <v>29</v>
      </c>
      <c r="M179" s="14" t="s">
        <v>29</v>
      </c>
      <c r="N179" s="14" t="s">
        <v>29</v>
      </c>
      <c r="O179" s="14" t="s">
        <v>29</v>
      </c>
      <c r="P179" s="14" t="s">
        <v>29</v>
      </c>
      <c r="Q179" s="13">
        <v>1199728.1299999999</v>
      </c>
      <c r="R179" s="13">
        <v>676569.22</v>
      </c>
      <c r="S179" s="15">
        <v>700.46</v>
      </c>
    </row>
    <row r="180" spans="1:19" x14ac:dyDescent="0.25">
      <c r="A180" s="9">
        <v>507</v>
      </c>
      <c r="B180" s="10" t="s">
        <v>271</v>
      </c>
      <c r="C180" s="11">
        <v>547</v>
      </c>
      <c r="D180" s="10" t="s">
        <v>240</v>
      </c>
      <c r="E180" s="12">
        <v>2</v>
      </c>
      <c r="F180" s="9">
        <v>1900</v>
      </c>
      <c r="G180" s="13">
        <v>642468.44999999995</v>
      </c>
      <c r="H180" s="13">
        <v>127993.58</v>
      </c>
      <c r="I180" s="13">
        <v>1812.92</v>
      </c>
      <c r="J180" s="14" t="s">
        <v>29</v>
      </c>
      <c r="K180" s="14" t="s">
        <v>29</v>
      </c>
      <c r="L180" s="14" t="s">
        <v>29</v>
      </c>
      <c r="M180" s="14" t="s">
        <v>29</v>
      </c>
      <c r="N180" s="14" t="s">
        <v>29</v>
      </c>
      <c r="O180" s="14" t="s">
        <v>29</v>
      </c>
      <c r="P180" s="14" t="s">
        <v>29</v>
      </c>
      <c r="Q180" s="13">
        <v>642468.44999999995</v>
      </c>
      <c r="R180" s="13">
        <v>126180.66</v>
      </c>
      <c r="S180" s="13">
        <v>1812.92</v>
      </c>
    </row>
    <row r="181" spans="1:19" x14ac:dyDescent="0.25">
      <c r="A181" s="9">
        <v>508</v>
      </c>
      <c r="B181" s="10" t="s">
        <v>272</v>
      </c>
      <c r="C181" s="11">
        <v>548</v>
      </c>
      <c r="D181" s="10" t="s">
        <v>240</v>
      </c>
      <c r="E181" s="12">
        <v>3</v>
      </c>
      <c r="F181" s="9">
        <v>2001</v>
      </c>
      <c r="G181" s="13">
        <v>2229954.9500000002</v>
      </c>
      <c r="H181" s="13">
        <v>1664048.92</v>
      </c>
      <c r="I181" s="13">
        <v>1688.36</v>
      </c>
      <c r="J181" s="14" t="s">
        <v>29</v>
      </c>
      <c r="K181" s="14" t="s">
        <v>29</v>
      </c>
      <c r="L181" s="14" t="s">
        <v>29</v>
      </c>
      <c r="M181" s="14" t="s">
        <v>29</v>
      </c>
      <c r="N181" s="14" t="s">
        <v>29</v>
      </c>
      <c r="O181" s="14" t="s">
        <v>29</v>
      </c>
      <c r="P181" s="14" t="s">
        <v>29</v>
      </c>
      <c r="Q181" s="13">
        <v>2229954.9500000002</v>
      </c>
      <c r="R181" s="13">
        <v>1662360.56</v>
      </c>
      <c r="S181" s="13">
        <v>1688.36</v>
      </c>
    </row>
    <row r="182" spans="1:19" x14ac:dyDescent="0.25">
      <c r="A182" s="9">
        <v>509</v>
      </c>
      <c r="B182" s="10" t="s">
        <v>273</v>
      </c>
      <c r="C182" s="11">
        <v>549</v>
      </c>
      <c r="D182" s="10" t="s">
        <v>261</v>
      </c>
      <c r="E182" s="10" t="s">
        <v>274</v>
      </c>
      <c r="F182" s="9">
        <v>2005</v>
      </c>
      <c r="G182" s="13">
        <v>568761.84</v>
      </c>
      <c r="H182" s="13">
        <v>446340.96</v>
      </c>
      <c r="I182" s="15">
        <v>429.38</v>
      </c>
      <c r="J182" s="14" t="s">
        <v>29</v>
      </c>
      <c r="K182" s="14" t="s">
        <v>29</v>
      </c>
      <c r="L182" s="14" t="s">
        <v>29</v>
      </c>
      <c r="M182" s="14" t="s">
        <v>29</v>
      </c>
      <c r="N182" s="14" t="s">
        <v>29</v>
      </c>
      <c r="O182" s="14" t="s">
        <v>29</v>
      </c>
      <c r="P182" s="14" t="s">
        <v>29</v>
      </c>
      <c r="Q182" s="13">
        <v>568761.84</v>
      </c>
      <c r="R182" s="13">
        <v>445911.58</v>
      </c>
      <c r="S182" s="15">
        <v>429.38</v>
      </c>
    </row>
    <row r="183" spans="1:19" s="21" customFormat="1" ht="12" x14ac:dyDescent="0.2">
      <c r="A183" s="16"/>
      <c r="B183" s="17"/>
      <c r="C183" s="17"/>
      <c r="D183" s="17"/>
      <c r="E183" s="17"/>
      <c r="F183" s="18" t="s">
        <v>275</v>
      </c>
      <c r="G183" s="19">
        <v>60135297.030000001</v>
      </c>
      <c r="H183" s="19">
        <v>22363613.199999999</v>
      </c>
      <c r="I183" s="19">
        <v>38840.89</v>
      </c>
      <c r="J183" s="20" t="s">
        <v>29</v>
      </c>
      <c r="K183" s="20" t="s">
        <v>29</v>
      </c>
      <c r="L183" s="20" t="s">
        <v>29</v>
      </c>
      <c r="M183" s="20" t="s">
        <v>29</v>
      </c>
      <c r="N183" s="20" t="s">
        <v>29</v>
      </c>
      <c r="O183" s="20" t="s">
        <v>29</v>
      </c>
      <c r="P183" s="20" t="s">
        <v>29</v>
      </c>
      <c r="Q183" s="19">
        <v>60135297.030000001</v>
      </c>
      <c r="R183" s="19">
        <v>22324772.309999999</v>
      </c>
      <c r="S183" s="19">
        <v>38840.89</v>
      </c>
    </row>
  </sheetData>
  <mergeCells count="5">
    <mergeCell ref="A1:H1"/>
    <mergeCell ref="E2:F2"/>
    <mergeCell ref="D3:F3"/>
    <mergeCell ref="D5:E5"/>
    <mergeCell ref="J5:L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6"/>
  <sheetViews>
    <sheetView topLeftCell="A19" workbookViewId="0">
      <selection activeCell="D77" sqref="D77"/>
    </sheetView>
  </sheetViews>
  <sheetFormatPr defaultRowHeight="15" x14ac:dyDescent="0.25"/>
  <cols>
    <col min="1" max="1" width="6" style="1" customWidth="1"/>
    <col min="2" max="2" width="7.28515625" style="1" hidden="1" customWidth="1"/>
    <col min="3" max="3" width="9.7109375" style="1" hidden="1" customWidth="1"/>
    <col min="4" max="4" width="29.42578125" style="1" customWidth="1"/>
    <col min="5" max="5" width="6.85546875" style="1" customWidth="1"/>
    <col min="6" max="6" width="7.7109375" style="1" hidden="1" customWidth="1"/>
    <col min="7" max="7" width="10.28515625" style="1" customWidth="1"/>
    <col min="8" max="8" width="11.28515625" style="1" customWidth="1"/>
    <col min="9" max="9" width="9.140625" style="1"/>
    <col min="10" max="16" width="0" style="1" hidden="1" customWidth="1"/>
    <col min="17" max="17" width="10.42578125" style="1" customWidth="1"/>
    <col min="18" max="18" width="10.28515625" style="1" customWidth="1"/>
    <col min="19" max="19" width="9.140625" style="1"/>
    <col min="20" max="20" width="0" hidden="1" customWidth="1"/>
  </cols>
  <sheetData>
    <row r="1" spans="1:19" s="1" customFormat="1" x14ac:dyDescent="0.25">
      <c r="A1" s="589" t="s">
        <v>0</v>
      </c>
      <c r="B1" s="589"/>
      <c r="C1" s="589"/>
      <c r="D1" s="589"/>
      <c r="E1" s="589"/>
      <c r="F1" s="589"/>
      <c r="G1" s="589"/>
      <c r="H1" s="589"/>
    </row>
    <row r="2" spans="1:19" s="2" customFormat="1" ht="11.25" x14ac:dyDescent="0.2">
      <c r="D2" s="2" t="s">
        <v>1</v>
      </c>
      <c r="E2" s="590" t="s">
        <v>2</v>
      </c>
      <c r="F2" s="590"/>
    </row>
    <row r="3" spans="1:19" s="1" customFormat="1" x14ac:dyDescent="0.25">
      <c r="D3" s="591" t="s">
        <v>276</v>
      </c>
      <c r="E3" s="591"/>
      <c r="F3" s="591"/>
    </row>
    <row r="4" spans="1:19" s="1" customFormat="1" x14ac:dyDescent="0.25"/>
    <row r="5" spans="1:19" s="5" customFormat="1" ht="11.25" x14ac:dyDescent="0.2">
      <c r="A5" s="3" t="s">
        <v>4</v>
      </c>
      <c r="B5" s="3" t="s">
        <v>5</v>
      </c>
      <c r="C5" s="4"/>
      <c r="D5" s="592" t="s">
        <v>6</v>
      </c>
      <c r="E5" s="592"/>
      <c r="F5" s="3" t="s">
        <v>7</v>
      </c>
      <c r="G5" s="3" t="s">
        <v>8</v>
      </c>
      <c r="H5" s="3" t="s">
        <v>9</v>
      </c>
      <c r="I5" s="3" t="s">
        <v>10</v>
      </c>
      <c r="J5" s="593" t="s">
        <v>11</v>
      </c>
      <c r="K5" s="593"/>
      <c r="L5" s="593"/>
      <c r="M5" s="3" t="s">
        <v>12</v>
      </c>
      <c r="N5" s="3" t="s">
        <v>12</v>
      </c>
      <c r="O5" s="3" t="s">
        <v>13</v>
      </c>
      <c r="P5" s="3" t="s">
        <v>13</v>
      </c>
      <c r="Q5" s="3" t="s">
        <v>8</v>
      </c>
      <c r="R5" s="3" t="s">
        <v>9</v>
      </c>
      <c r="S5" s="3" t="s">
        <v>10</v>
      </c>
    </row>
    <row r="6" spans="1:19" s="5" customFormat="1" ht="11.25" x14ac:dyDescent="0.2">
      <c r="A6" s="6" t="s">
        <v>14</v>
      </c>
      <c r="B6" s="6" t="s">
        <v>15</v>
      </c>
      <c r="C6" s="6" t="s">
        <v>16</v>
      </c>
      <c r="D6" s="7" t="s">
        <v>17</v>
      </c>
      <c r="E6" s="8" t="s">
        <v>18</v>
      </c>
      <c r="F6" s="6" t="s">
        <v>19</v>
      </c>
      <c r="G6" s="6" t="s">
        <v>20</v>
      </c>
      <c r="H6" s="6" t="s">
        <v>20</v>
      </c>
      <c r="I6" s="6" t="s">
        <v>21</v>
      </c>
      <c r="J6" s="3" t="s">
        <v>22</v>
      </c>
      <c r="K6" s="3" t="s">
        <v>23</v>
      </c>
      <c r="L6" s="3" t="s">
        <v>10</v>
      </c>
      <c r="M6" s="6" t="s">
        <v>24</v>
      </c>
      <c r="N6" s="6" t="s">
        <v>25</v>
      </c>
      <c r="O6" s="6" t="s">
        <v>24</v>
      </c>
      <c r="P6" s="6" t="s">
        <v>25</v>
      </c>
      <c r="Q6" s="6" t="s">
        <v>26</v>
      </c>
      <c r="R6" s="6" t="s">
        <v>26</v>
      </c>
      <c r="S6" s="6"/>
    </row>
    <row r="7" spans="1:19" x14ac:dyDescent="0.25">
      <c r="A7" s="9">
        <v>1</v>
      </c>
      <c r="B7" s="10" t="s">
        <v>48</v>
      </c>
      <c r="C7" s="11">
        <v>712</v>
      </c>
      <c r="D7" s="10" t="s">
        <v>46</v>
      </c>
      <c r="E7" s="12">
        <v>19</v>
      </c>
      <c r="F7" s="9">
        <v>1939</v>
      </c>
      <c r="G7" s="15">
        <v>66.42</v>
      </c>
      <c r="H7" s="15">
        <v>52.79</v>
      </c>
      <c r="I7" s="15">
        <v>0.2</v>
      </c>
      <c r="J7" s="14" t="s">
        <v>29</v>
      </c>
      <c r="K7" s="14" t="s">
        <v>29</v>
      </c>
      <c r="L7" s="14" t="s">
        <v>29</v>
      </c>
      <c r="M7" s="14" t="s">
        <v>29</v>
      </c>
      <c r="N7" s="14" t="s">
        <v>29</v>
      </c>
      <c r="O7" s="14" t="s">
        <v>29</v>
      </c>
      <c r="P7" s="14" t="s">
        <v>29</v>
      </c>
      <c r="Q7" s="15">
        <v>66.42</v>
      </c>
      <c r="R7" s="15">
        <v>52.59</v>
      </c>
      <c r="S7" s="15">
        <v>0.2</v>
      </c>
    </row>
    <row r="8" spans="1:19" x14ac:dyDescent="0.25">
      <c r="A8" s="9">
        <v>2</v>
      </c>
      <c r="B8" s="10" t="s">
        <v>277</v>
      </c>
      <c r="C8" s="11">
        <v>557</v>
      </c>
      <c r="D8" s="10" t="s">
        <v>128</v>
      </c>
      <c r="E8" s="12">
        <v>36</v>
      </c>
      <c r="F8" s="9">
        <v>1990</v>
      </c>
      <c r="G8" s="13">
        <v>1240.69</v>
      </c>
      <c r="H8" s="13">
        <v>1025.32</v>
      </c>
      <c r="I8" s="15">
        <v>1.31</v>
      </c>
      <c r="J8" s="14" t="s">
        <v>29</v>
      </c>
      <c r="K8" s="14" t="s">
        <v>29</v>
      </c>
      <c r="L8" s="14" t="s">
        <v>29</v>
      </c>
      <c r="M8" s="14" t="s">
        <v>29</v>
      </c>
      <c r="N8" s="14" t="s">
        <v>29</v>
      </c>
      <c r="O8" s="14" t="s">
        <v>29</v>
      </c>
      <c r="P8" s="14" t="s">
        <v>29</v>
      </c>
      <c r="Q8" s="13">
        <v>1240.69</v>
      </c>
      <c r="R8" s="13">
        <v>1024.01</v>
      </c>
      <c r="S8" s="15">
        <v>1.31</v>
      </c>
    </row>
    <row r="9" spans="1:19" x14ac:dyDescent="0.25">
      <c r="A9" s="9">
        <v>3</v>
      </c>
      <c r="B9" s="10" t="s">
        <v>278</v>
      </c>
      <c r="C9" s="11">
        <v>558</v>
      </c>
      <c r="D9" s="10" t="s">
        <v>234</v>
      </c>
      <c r="E9" s="12">
        <v>10</v>
      </c>
      <c r="F9" s="9">
        <v>1989</v>
      </c>
      <c r="G9" s="13">
        <v>24175.02</v>
      </c>
      <c r="H9" s="13">
        <v>21954.39</v>
      </c>
      <c r="I9" s="15">
        <v>25.83</v>
      </c>
      <c r="J9" s="14" t="s">
        <v>29</v>
      </c>
      <c r="K9" s="14" t="s">
        <v>29</v>
      </c>
      <c r="L9" s="14" t="s">
        <v>29</v>
      </c>
      <c r="M9" s="14" t="s">
        <v>29</v>
      </c>
      <c r="N9" s="14" t="s">
        <v>29</v>
      </c>
      <c r="O9" s="14" t="s">
        <v>29</v>
      </c>
      <c r="P9" s="14" t="s">
        <v>29</v>
      </c>
      <c r="Q9" s="13">
        <v>24175.02</v>
      </c>
      <c r="R9" s="13">
        <v>21928.560000000001</v>
      </c>
      <c r="S9" s="15">
        <v>25.83</v>
      </c>
    </row>
    <row r="10" spans="1:19" x14ac:dyDescent="0.25">
      <c r="A10" s="9">
        <v>5</v>
      </c>
      <c r="B10" s="10" t="s">
        <v>279</v>
      </c>
      <c r="C10" s="11">
        <v>560</v>
      </c>
      <c r="D10" s="10" t="s">
        <v>234</v>
      </c>
      <c r="E10" s="12">
        <v>26</v>
      </c>
      <c r="F10" s="9">
        <v>1990</v>
      </c>
      <c r="G10" s="13">
        <v>3450.7</v>
      </c>
      <c r="H10" s="13">
        <v>2973.22</v>
      </c>
      <c r="I10" s="15">
        <v>3.6</v>
      </c>
      <c r="J10" s="14" t="s">
        <v>29</v>
      </c>
      <c r="K10" s="14" t="s">
        <v>29</v>
      </c>
      <c r="L10" s="14" t="s">
        <v>29</v>
      </c>
      <c r="M10" s="14" t="s">
        <v>29</v>
      </c>
      <c r="N10" s="14" t="s">
        <v>29</v>
      </c>
      <c r="O10" s="14" t="s">
        <v>29</v>
      </c>
      <c r="P10" s="14" t="s">
        <v>29</v>
      </c>
      <c r="Q10" s="13">
        <v>3450.7</v>
      </c>
      <c r="R10" s="13">
        <v>2969.62</v>
      </c>
      <c r="S10" s="15">
        <v>3.6</v>
      </c>
    </row>
    <row r="11" spans="1:19" x14ac:dyDescent="0.25">
      <c r="A11" s="9">
        <v>6</v>
      </c>
      <c r="B11" s="10" t="s">
        <v>280</v>
      </c>
      <c r="C11" s="11">
        <v>561</v>
      </c>
      <c r="D11" s="10" t="s">
        <v>171</v>
      </c>
      <c r="E11" s="12">
        <v>39</v>
      </c>
      <c r="F11" s="9">
        <v>1989</v>
      </c>
      <c r="G11" s="13">
        <v>1634.98</v>
      </c>
      <c r="H11" s="13">
        <v>1387.9</v>
      </c>
      <c r="I11" s="15">
        <v>1.89</v>
      </c>
      <c r="J11" s="14" t="s">
        <v>29</v>
      </c>
      <c r="K11" s="14" t="s">
        <v>29</v>
      </c>
      <c r="L11" s="14" t="s">
        <v>29</v>
      </c>
      <c r="M11" s="14" t="s">
        <v>29</v>
      </c>
      <c r="N11" s="14" t="s">
        <v>29</v>
      </c>
      <c r="O11" s="14" t="s">
        <v>29</v>
      </c>
      <c r="P11" s="14" t="s">
        <v>29</v>
      </c>
      <c r="Q11" s="13">
        <v>1634.98</v>
      </c>
      <c r="R11" s="13">
        <v>1386.01</v>
      </c>
      <c r="S11" s="15">
        <v>1.89</v>
      </c>
    </row>
    <row r="12" spans="1:19" x14ac:dyDescent="0.25">
      <c r="A12" s="9">
        <v>7</v>
      </c>
      <c r="B12" s="10" t="s">
        <v>281</v>
      </c>
      <c r="C12" s="11">
        <v>562</v>
      </c>
      <c r="D12" s="10" t="s">
        <v>234</v>
      </c>
      <c r="E12" s="12">
        <v>4</v>
      </c>
      <c r="F12" s="9">
        <v>1989</v>
      </c>
      <c r="G12" s="13">
        <v>1252.58</v>
      </c>
      <c r="H12" s="13">
        <v>1086.58</v>
      </c>
      <c r="I12" s="15">
        <v>1.1499999999999999</v>
      </c>
      <c r="J12" s="14" t="s">
        <v>29</v>
      </c>
      <c r="K12" s="14" t="s">
        <v>29</v>
      </c>
      <c r="L12" s="14" t="s">
        <v>29</v>
      </c>
      <c r="M12" s="14" t="s">
        <v>29</v>
      </c>
      <c r="N12" s="14" t="s">
        <v>29</v>
      </c>
      <c r="O12" s="14" t="s">
        <v>29</v>
      </c>
      <c r="P12" s="14" t="s">
        <v>29</v>
      </c>
      <c r="Q12" s="13">
        <v>1252.58</v>
      </c>
      <c r="R12" s="13">
        <v>1085.43</v>
      </c>
      <c r="S12" s="15">
        <v>1.1499999999999999</v>
      </c>
    </row>
    <row r="13" spans="1:19" x14ac:dyDescent="0.25">
      <c r="A13" s="9">
        <v>8</v>
      </c>
      <c r="B13" s="10" t="s">
        <v>282</v>
      </c>
      <c r="C13" s="11">
        <v>563</v>
      </c>
      <c r="D13" s="10" t="s">
        <v>234</v>
      </c>
      <c r="E13" s="12">
        <v>18</v>
      </c>
      <c r="F13" s="9">
        <v>1990</v>
      </c>
      <c r="G13" s="13">
        <v>2937.61</v>
      </c>
      <c r="H13" s="13">
        <v>2588.25</v>
      </c>
      <c r="I13" s="15">
        <v>3.1</v>
      </c>
      <c r="J13" s="14" t="s">
        <v>29</v>
      </c>
      <c r="K13" s="14" t="s">
        <v>29</v>
      </c>
      <c r="L13" s="14" t="s">
        <v>29</v>
      </c>
      <c r="M13" s="14" t="s">
        <v>29</v>
      </c>
      <c r="N13" s="14" t="s">
        <v>29</v>
      </c>
      <c r="O13" s="14" t="s">
        <v>29</v>
      </c>
      <c r="P13" s="14" t="s">
        <v>29</v>
      </c>
      <c r="Q13" s="13">
        <v>2937.61</v>
      </c>
      <c r="R13" s="13">
        <v>2585.15</v>
      </c>
      <c r="S13" s="15">
        <v>3.1</v>
      </c>
    </row>
    <row r="14" spans="1:19" x14ac:dyDescent="0.25">
      <c r="A14" s="9">
        <v>9</v>
      </c>
      <c r="B14" s="10" t="s">
        <v>283</v>
      </c>
      <c r="C14" s="11">
        <v>564</v>
      </c>
      <c r="D14" s="10" t="s">
        <v>110</v>
      </c>
      <c r="E14" s="12">
        <v>10</v>
      </c>
      <c r="F14" s="9">
        <v>1982</v>
      </c>
      <c r="G14" s="13">
        <v>4074.95</v>
      </c>
      <c r="H14" s="13">
        <v>3595.7</v>
      </c>
      <c r="I14" s="15">
        <v>4.7300000000000004</v>
      </c>
      <c r="J14" s="14" t="s">
        <v>29</v>
      </c>
      <c r="K14" s="14" t="s">
        <v>29</v>
      </c>
      <c r="L14" s="14" t="s">
        <v>29</v>
      </c>
      <c r="M14" s="14" t="s">
        <v>29</v>
      </c>
      <c r="N14" s="14" t="s">
        <v>29</v>
      </c>
      <c r="O14" s="14" t="s">
        <v>29</v>
      </c>
      <c r="P14" s="14" t="s">
        <v>29</v>
      </c>
      <c r="Q14" s="13">
        <v>4074.95</v>
      </c>
      <c r="R14" s="13">
        <v>3590.97</v>
      </c>
      <c r="S14" s="15">
        <v>4.7300000000000004</v>
      </c>
    </row>
    <row r="15" spans="1:19" x14ac:dyDescent="0.25">
      <c r="A15" s="9">
        <v>11</v>
      </c>
      <c r="B15" s="10" t="s">
        <v>284</v>
      </c>
      <c r="C15" s="11">
        <v>566</v>
      </c>
      <c r="D15" s="10" t="s">
        <v>234</v>
      </c>
      <c r="E15" s="12">
        <v>22</v>
      </c>
      <c r="F15" s="9">
        <v>1988</v>
      </c>
      <c r="G15" s="15">
        <v>630.42999999999995</v>
      </c>
      <c r="H15" s="15">
        <v>553.09</v>
      </c>
      <c r="I15" s="15">
        <v>1.32</v>
      </c>
      <c r="J15" s="14" t="s">
        <v>29</v>
      </c>
      <c r="K15" s="14" t="s">
        <v>29</v>
      </c>
      <c r="L15" s="14" t="s">
        <v>29</v>
      </c>
      <c r="M15" s="14" t="s">
        <v>29</v>
      </c>
      <c r="N15" s="14" t="s">
        <v>29</v>
      </c>
      <c r="O15" s="14" t="s">
        <v>29</v>
      </c>
      <c r="P15" s="14" t="s">
        <v>29</v>
      </c>
      <c r="Q15" s="24">
        <v>630.42999999999995</v>
      </c>
      <c r="R15" s="24">
        <v>551.77</v>
      </c>
      <c r="S15" s="24">
        <v>1.32</v>
      </c>
    </row>
    <row r="16" spans="1:19" x14ac:dyDescent="0.25">
      <c r="A16" s="9">
        <v>12</v>
      </c>
      <c r="B16" s="10" t="s">
        <v>285</v>
      </c>
      <c r="C16" s="11">
        <v>567</v>
      </c>
      <c r="D16" s="10" t="s">
        <v>234</v>
      </c>
      <c r="E16" s="12">
        <v>24</v>
      </c>
      <c r="F16" s="9">
        <v>1988</v>
      </c>
      <c r="G16" s="13">
        <v>1791.69</v>
      </c>
      <c r="H16" s="13">
        <v>1583.99</v>
      </c>
      <c r="I16" s="15">
        <v>1.92</v>
      </c>
      <c r="J16" s="14" t="s">
        <v>29</v>
      </c>
      <c r="K16" s="14" t="s">
        <v>29</v>
      </c>
      <c r="L16" s="14" t="s">
        <v>29</v>
      </c>
      <c r="M16" s="14" t="s">
        <v>29</v>
      </c>
      <c r="N16" s="14" t="s">
        <v>29</v>
      </c>
      <c r="O16" s="14" t="s">
        <v>29</v>
      </c>
      <c r="P16" s="14" t="s">
        <v>29</v>
      </c>
      <c r="Q16" s="13">
        <v>1791.69</v>
      </c>
      <c r="R16" s="13">
        <v>1582.07</v>
      </c>
      <c r="S16" s="15">
        <v>1.92</v>
      </c>
    </row>
    <row r="17" spans="1:19" x14ac:dyDescent="0.25">
      <c r="A17" s="9">
        <v>13</v>
      </c>
      <c r="B17" s="10" t="s">
        <v>286</v>
      </c>
      <c r="C17" s="11">
        <v>568</v>
      </c>
      <c r="D17" s="10" t="s">
        <v>234</v>
      </c>
      <c r="E17" s="12">
        <v>20</v>
      </c>
      <c r="F17" s="9">
        <v>1987</v>
      </c>
      <c r="G17" s="15">
        <v>115.1</v>
      </c>
      <c r="H17" s="15">
        <v>94.77</v>
      </c>
      <c r="I17" s="15">
        <v>0.12</v>
      </c>
      <c r="J17" s="14" t="s">
        <v>29</v>
      </c>
      <c r="K17" s="14" t="s">
        <v>29</v>
      </c>
      <c r="L17" s="14" t="s">
        <v>29</v>
      </c>
      <c r="M17" s="14" t="s">
        <v>29</v>
      </c>
      <c r="N17" s="14" t="s">
        <v>29</v>
      </c>
      <c r="O17" s="14" t="s">
        <v>29</v>
      </c>
      <c r="P17" s="14" t="s">
        <v>29</v>
      </c>
      <c r="Q17" s="15">
        <v>115.1</v>
      </c>
      <c r="R17" s="15">
        <v>94.65</v>
      </c>
      <c r="S17" s="15">
        <v>0.12</v>
      </c>
    </row>
    <row r="18" spans="1:19" x14ac:dyDescent="0.25">
      <c r="A18" s="9">
        <v>14</v>
      </c>
      <c r="B18" s="10" t="s">
        <v>287</v>
      </c>
      <c r="C18" s="11">
        <v>569</v>
      </c>
      <c r="D18" s="10" t="s">
        <v>234</v>
      </c>
      <c r="E18" s="12">
        <v>8</v>
      </c>
      <c r="F18" s="9">
        <v>1989</v>
      </c>
      <c r="G18" s="15">
        <v>233.45</v>
      </c>
      <c r="H18" s="15">
        <v>187.44</v>
      </c>
      <c r="I18" s="15">
        <v>0.25</v>
      </c>
      <c r="J18" s="14" t="s">
        <v>29</v>
      </c>
      <c r="K18" s="14" t="s">
        <v>29</v>
      </c>
      <c r="L18" s="14" t="s">
        <v>29</v>
      </c>
      <c r="M18" s="14" t="s">
        <v>29</v>
      </c>
      <c r="N18" s="14" t="s">
        <v>29</v>
      </c>
      <c r="O18" s="14" t="s">
        <v>29</v>
      </c>
      <c r="P18" s="14" t="s">
        <v>29</v>
      </c>
      <c r="Q18" s="15">
        <v>233.45</v>
      </c>
      <c r="R18" s="15">
        <v>187.19</v>
      </c>
      <c r="S18" s="15">
        <v>0.25</v>
      </c>
    </row>
    <row r="19" spans="1:19" x14ac:dyDescent="0.25">
      <c r="A19" s="9">
        <v>15</v>
      </c>
      <c r="B19" s="10" t="s">
        <v>288</v>
      </c>
      <c r="C19" s="11">
        <v>570</v>
      </c>
      <c r="D19" s="10" t="s">
        <v>171</v>
      </c>
      <c r="E19" s="12">
        <v>23</v>
      </c>
      <c r="F19" s="9">
        <v>1986</v>
      </c>
      <c r="G19" s="13">
        <v>17584.22</v>
      </c>
      <c r="H19" s="13">
        <v>16500.349999999999</v>
      </c>
      <c r="I19" s="15">
        <v>19.54</v>
      </c>
      <c r="J19" s="14" t="s">
        <v>29</v>
      </c>
      <c r="K19" s="14" t="s">
        <v>29</v>
      </c>
      <c r="L19" s="14" t="s">
        <v>29</v>
      </c>
      <c r="M19" s="14" t="s">
        <v>29</v>
      </c>
      <c r="N19" s="14" t="s">
        <v>29</v>
      </c>
      <c r="O19" s="14" t="s">
        <v>29</v>
      </c>
      <c r="P19" s="14" t="s">
        <v>29</v>
      </c>
      <c r="Q19" s="13">
        <v>17584.22</v>
      </c>
      <c r="R19" s="13">
        <v>16480.810000000001</v>
      </c>
      <c r="S19" s="15">
        <v>19.54</v>
      </c>
    </row>
    <row r="20" spans="1:19" x14ac:dyDescent="0.25">
      <c r="A20" s="9">
        <v>16</v>
      </c>
      <c r="B20" s="10" t="s">
        <v>289</v>
      </c>
      <c r="C20" s="11">
        <v>571</v>
      </c>
      <c r="D20" s="10" t="s">
        <v>77</v>
      </c>
      <c r="E20" s="12">
        <v>272</v>
      </c>
      <c r="F20" s="9">
        <v>1988</v>
      </c>
      <c r="G20" s="13">
        <v>1283.17</v>
      </c>
      <c r="H20" s="13">
        <v>1063.71</v>
      </c>
      <c r="I20" s="15">
        <v>1.34</v>
      </c>
      <c r="J20" s="14" t="s">
        <v>29</v>
      </c>
      <c r="K20" s="14" t="s">
        <v>29</v>
      </c>
      <c r="L20" s="14" t="s">
        <v>29</v>
      </c>
      <c r="M20" s="14" t="s">
        <v>29</v>
      </c>
      <c r="N20" s="14" t="s">
        <v>29</v>
      </c>
      <c r="O20" s="14" t="s">
        <v>29</v>
      </c>
      <c r="P20" s="14" t="s">
        <v>29</v>
      </c>
      <c r="Q20" s="13">
        <v>1283.17</v>
      </c>
      <c r="R20" s="13">
        <v>1062.3699999999999</v>
      </c>
      <c r="S20" s="15">
        <v>1.34</v>
      </c>
    </row>
    <row r="21" spans="1:19" x14ac:dyDescent="0.25">
      <c r="A21" s="9">
        <v>17</v>
      </c>
      <c r="B21" s="10" t="s">
        <v>290</v>
      </c>
      <c r="C21" s="11">
        <v>572</v>
      </c>
      <c r="D21" s="10" t="s">
        <v>176</v>
      </c>
      <c r="E21" s="12">
        <v>26</v>
      </c>
      <c r="F21" s="9">
        <v>1961</v>
      </c>
      <c r="G21" s="15">
        <v>299.14</v>
      </c>
      <c r="H21" s="15">
        <v>249.56</v>
      </c>
      <c r="I21" s="15">
        <v>0.5</v>
      </c>
      <c r="J21" s="14" t="s">
        <v>29</v>
      </c>
      <c r="K21" s="14" t="s">
        <v>29</v>
      </c>
      <c r="L21" s="14" t="s">
        <v>29</v>
      </c>
      <c r="M21" s="14" t="s">
        <v>29</v>
      </c>
      <c r="N21" s="14" t="s">
        <v>29</v>
      </c>
      <c r="O21" s="14" t="s">
        <v>29</v>
      </c>
      <c r="P21" s="14" t="s">
        <v>29</v>
      </c>
      <c r="Q21" s="15">
        <v>299.14</v>
      </c>
      <c r="R21" s="15">
        <v>249.06</v>
      </c>
      <c r="S21" s="15">
        <v>0.5</v>
      </c>
    </row>
    <row r="22" spans="1:19" x14ac:dyDescent="0.25">
      <c r="A22" s="9">
        <v>19</v>
      </c>
      <c r="B22" s="10" t="s">
        <v>291</v>
      </c>
      <c r="C22" s="11">
        <v>574</v>
      </c>
      <c r="D22" s="10" t="s">
        <v>195</v>
      </c>
      <c r="E22" s="12">
        <v>28</v>
      </c>
      <c r="F22" s="9">
        <v>1992</v>
      </c>
      <c r="G22" s="13">
        <v>3564.52</v>
      </c>
      <c r="H22" s="13">
        <v>3233.01</v>
      </c>
      <c r="I22" s="15">
        <v>3.65</v>
      </c>
      <c r="J22" s="14" t="s">
        <v>29</v>
      </c>
      <c r="K22" s="14" t="s">
        <v>29</v>
      </c>
      <c r="L22" s="14" t="s">
        <v>29</v>
      </c>
      <c r="M22" s="14" t="s">
        <v>29</v>
      </c>
      <c r="N22" s="14" t="s">
        <v>29</v>
      </c>
      <c r="O22" s="14" t="s">
        <v>29</v>
      </c>
      <c r="P22" s="14" t="s">
        <v>29</v>
      </c>
      <c r="Q22" s="13">
        <v>3564.52</v>
      </c>
      <c r="R22" s="13">
        <v>3229.36</v>
      </c>
      <c r="S22" s="15">
        <v>3.65</v>
      </c>
    </row>
    <row r="23" spans="1:19" x14ac:dyDescent="0.25">
      <c r="A23" s="9">
        <v>20</v>
      </c>
      <c r="B23" s="10" t="s">
        <v>292</v>
      </c>
      <c r="C23" s="11">
        <v>575</v>
      </c>
      <c r="D23" s="10" t="s">
        <v>171</v>
      </c>
      <c r="E23" s="12">
        <v>34</v>
      </c>
      <c r="F23" s="9">
        <v>1969</v>
      </c>
      <c r="G23" s="15">
        <v>440.58</v>
      </c>
      <c r="H23" s="15">
        <v>321.77</v>
      </c>
      <c r="I23" s="15">
        <v>0.63</v>
      </c>
      <c r="J23" s="14" t="s">
        <v>29</v>
      </c>
      <c r="K23" s="14" t="s">
        <v>29</v>
      </c>
      <c r="L23" s="14" t="s">
        <v>29</v>
      </c>
      <c r="M23" s="14" t="s">
        <v>29</v>
      </c>
      <c r="N23" s="14" t="s">
        <v>29</v>
      </c>
      <c r="O23" s="14" t="s">
        <v>29</v>
      </c>
      <c r="P23" s="14" t="s">
        <v>29</v>
      </c>
      <c r="Q23" s="15">
        <v>440.58</v>
      </c>
      <c r="R23" s="15">
        <v>321.14</v>
      </c>
      <c r="S23" s="15">
        <v>0.63</v>
      </c>
    </row>
    <row r="24" spans="1:19" x14ac:dyDescent="0.25">
      <c r="A24" s="9">
        <v>21</v>
      </c>
      <c r="B24" s="10" t="s">
        <v>293</v>
      </c>
      <c r="C24" s="11">
        <v>576</v>
      </c>
      <c r="D24" s="10" t="s">
        <v>204</v>
      </c>
      <c r="E24" s="12">
        <v>50</v>
      </c>
      <c r="F24" s="9">
        <v>1973</v>
      </c>
      <c r="G24" s="15">
        <v>592.33000000000004</v>
      </c>
      <c r="H24" s="15">
        <v>481.57</v>
      </c>
      <c r="I24" s="15">
        <v>0.79</v>
      </c>
      <c r="J24" s="14" t="s">
        <v>29</v>
      </c>
      <c r="K24" s="14" t="s">
        <v>29</v>
      </c>
      <c r="L24" s="14" t="s">
        <v>29</v>
      </c>
      <c r="M24" s="14" t="s">
        <v>29</v>
      </c>
      <c r="N24" s="14" t="s">
        <v>29</v>
      </c>
      <c r="O24" s="14" t="s">
        <v>29</v>
      </c>
      <c r="P24" s="14" t="s">
        <v>29</v>
      </c>
      <c r="Q24" s="15">
        <v>592.33000000000004</v>
      </c>
      <c r="R24" s="15">
        <v>480.78</v>
      </c>
      <c r="S24" s="15">
        <v>0.79</v>
      </c>
    </row>
    <row r="25" spans="1:19" x14ac:dyDescent="0.25">
      <c r="A25" s="9">
        <v>22</v>
      </c>
      <c r="B25" s="10" t="s">
        <v>294</v>
      </c>
      <c r="C25" s="11">
        <v>578</v>
      </c>
      <c r="D25" s="10" t="s">
        <v>204</v>
      </c>
      <c r="E25" s="12">
        <v>40</v>
      </c>
      <c r="F25" s="9">
        <v>1964</v>
      </c>
      <c r="G25" s="13">
        <v>2699.93</v>
      </c>
      <c r="H25" s="13">
        <v>2290.92</v>
      </c>
      <c r="I25" s="15">
        <v>3.77</v>
      </c>
      <c r="J25" s="14" t="s">
        <v>29</v>
      </c>
      <c r="K25" s="14" t="s">
        <v>29</v>
      </c>
      <c r="L25" s="14" t="s">
        <v>29</v>
      </c>
      <c r="M25" s="14" t="s">
        <v>29</v>
      </c>
      <c r="N25" s="14" t="s">
        <v>29</v>
      </c>
      <c r="O25" s="14" t="s">
        <v>29</v>
      </c>
      <c r="P25" s="14" t="s">
        <v>29</v>
      </c>
      <c r="Q25" s="13">
        <v>2699.93</v>
      </c>
      <c r="R25" s="13">
        <v>2287.15</v>
      </c>
      <c r="S25" s="15">
        <v>3.77</v>
      </c>
    </row>
    <row r="26" spans="1:19" x14ac:dyDescent="0.25">
      <c r="A26" s="9">
        <v>23</v>
      </c>
      <c r="B26" s="10" t="s">
        <v>295</v>
      </c>
      <c r="C26" s="11">
        <v>579</v>
      </c>
      <c r="D26" s="10" t="s">
        <v>204</v>
      </c>
      <c r="E26" s="12">
        <v>36</v>
      </c>
      <c r="F26" s="9">
        <v>1979</v>
      </c>
      <c r="G26" s="13">
        <v>2117.83</v>
      </c>
      <c r="H26" s="13">
        <v>1897.28</v>
      </c>
      <c r="I26" s="15">
        <v>2.6</v>
      </c>
      <c r="J26" s="14" t="s">
        <v>29</v>
      </c>
      <c r="K26" s="14" t="s">
        <v>29</v>
      </c>
      <c r="L26" s="14" t="s">
        <v>29</v>
      </c>
      <c r="M26" s="14" t="s">
        <v>29</v>
      </c>
      <c r="N26" s="14" t="s">
        <v>29</v>
      </c>
      <c r="O26" s="14" t="s">
        <v>29</v>
      </c>
      <c r="P26" s="14" t="s">
        <v>29</v>
      </c>
      <c r="Q26" s="13">
        <v>2117.83</v>
      </c>
      <c r="R26" s="13">
        <v>1894.68</v>
      </c>
      <c r="S26" s="15">
        <v>2.6</v>
      </c>
    </row>
    <row r="27" spans="1:19" x14ac:dyDescent="0.25">
      <c r="A27" s="9">
        <v>25</v>
      </c>
      <c r="B27" s="10" t="s">
        <v>296</v>
      </c>
      <c r="C27" s="11">
        <v>581</v>
      </c>
      <c r="D27" s="10" t="s">
        <v>176</v>
      </c>
      <c r="E27" s="12">
        <v>34</v>
      </c>
      <c r="F27" s="9">
        <v>1968</v>
      </c>
      <c r="G27" s="15">
        <v>390.53</v>
      </c>
      <c r="H27" s="15">
        <v>310.85000000000002</v>
      </c>
      <c r="I27" s="15">
        <v>0.56999999999999995</v>
      </c>
      <c r="J27" s="14" t="s">
        <v>29</v>
      </c>
      <c r="K27" s="14" t="s">
        <v>29</v>
      </c>
      <c r="L27" s="14" t="s">
        <v>29</v>
      </c>
      <c r="M27" s="14" t="s">
        <v>29</v>
      </c>
      <c r="N27" s="14" t="s">
        <v>29</v>
      </c>
      <c r="O27" s="14" t="s">
        <v>29</v>
      </c>
      <c r="P27" s="14" t="s">
        <v>29</v>
      </c>
      <c r="Q27" s="15">
        <v>390.53</v>
      </c>
      <c r="R27" s="15">
        <v>310.27999999999997</v>
      </c>
      <c r="S27" s="15">
        <v>0.56999999999999995</v>
      </c>
    </row>
    <row r="28" spans="1:19" x14ac:dyDescent="0.25">
      <c r="A28" s="9">
        <v>26</v>
      </c>
      <c r="B28" s="10" t="s">
        <v>297</v>
      </c>
      <c r="C28" s="11">
        <v>582</v>
      </c>
      <c r="D28" s="10" t="s">
        <v>176</v>
      </c>
      <c r="E28" s="12">
        <v>38</v>
      </c>
      <c r="F28" s="9">
        <v>1969</v>
      </c>
      <c r="G28" s="15">
        <v>274.76</v>
      </c>
      <c r="H28" s="15">
        <v>214.84</v>
      </c>
      <c r="I28" s="15">
        <v>0.39</v>
      </c>
      <c r="J28" s="14" t="s">
        <v>29</v>
      </c>
      <c r="K28" s="14" t="s">
        <v>29</v>
      </c>
      <c r="L28" s="14" t="s">
        <v>29</v>
      </c>
      <c r="M28" s="14" t="s">
        <v>29</v>
      </c>
      <c r="N28" s="14" t="s">
        <v>29</v>
      </c>
      <c r="O28" s="14" t="s">
        <v>29</v>
      </c>
      <c r="P28" s="14" t="s">
        <v>29</v>
      </c>
      <c r="Q28" s="15">
        <v>274.76</v>
      </c>
      <c r="R28" s="15">
        <v>214.45</v>
      </c>
      <c r="S28" s="15">
        <v>0.39</v>
      </c>
    </row>
    <row r="29" spans="1:19" x14ac:dyDescent="0.25">
      <c r="A29" s="9">
        <v>28</v>
      </c>
      <c r="B29" s="10" t="s">
        <v>298</v>
      </c>
      <c r="C29" s="11">
        <v>584</v>
      </c>
      <c r="D29" s="10" t="s">
        <v>176</v>
      </c>
      <c r="E29" s="12">
        <v>20</v>
      </c>
      <c r="F29" s="9">
        <v>1964</v>
      </c>
      <c r="G29" s="15">
        <v>527.42999999999995</v>
      </c>
      <c r="H29" s="15">
        <v>457.05</v>
      </c>
      <c r="I29" s="15">
        <v>0.83</v>
      </c>
      <c r="J29" s="14" t="s">
        <v>29</v>
      </c>
      <c r="K29" s="14" t="s">
        <v>29</v>
      </c>
      <c r="L29" s="14" t="s">
        <v>29</v>
      </c>
      <c r="M29" s="14" t="s">
        <v>29</v>
      </c>
      <c r="N29" s="14" t="s">
        <v>29</v>
      </c>
      <c r="O29" s="14" t="s">
        <v>29</v>
      </c>
      <c r="P29" s="14" t="s">
        <v>29</v>
      </c>
      <c r="Q29" s="15">
        <v>527.42999999999995</v>
      </c>
      <c r="R29" s="15">
        <v>456.22</v>
      </c>
      <c r="S29" s="15">
        <v>0.83</v>
      </c>
    </row>
    <row r="30" spans="1:19" x14ac:dyDescent="0.25">
      <c r="A30" s="9">
        <v>29</v>
      </c>
      <c r="B30" s="10" t="s">
        <v>299</v>
      </c>
      <c r="C30" s="11">
        <v>585</v>
      </c>
      <c r="D30" s="10" t="s">
        <v>176</v>
      </c>
      <c r="E30" s="12">
        <v>30</v>
      </c>
      <c r="F30" s="9">
        <v>1967</v>
      </c>
      <c r="G30" s="15">
        <v>252.2</v>
      </c>
      <c r="H30" s="15">
        <v>200.19</v>
      </c>
      <c r="I30" s="15">
        <v>0.32</v>
      </c>
      <c r="J30" s="14" t="s">
        <v>29</v>
      </c>
      <c r="K30" s="14" t="s">
        <v>29</v>
      </c>
      <c r="L30" s="14" t="s">
        <v>29</v>
      </c>
      <c r="M30" s="14" t="s">
        <v>29</v>
      </c>
      <c r="N30" s="14" t="s">
        <v>29</v>
      </c>
      <c r="O30" s="14" t="s">
        <v>29</v>
      </c>
      <c r="P30" s="14" t="s">
        <v>29</v>
      </c>
      <c r="Q30" s="15">
        <v>252.2</v>
      </c>
      <c r="R30" s="15">
        <v>199.87</v>
      </c>
      <c r="S30" s="15">
        <v>0.32</v>
      </c>
    </row>
    <row r="31" spans="1:19" x14ac:dyDescent="0.25">
      <c r="A31" s="9">
        <v>30</v>
      </c>
      <c r="B31" s="10" t="s">
        <v>300</v>
      </c>
      <c r="C31" s="11">
        <v>586</v>
      </c>
      <c r="D31" s="10" t="s">
        <v>77</v>
      </c>
      <c r="E31" s="12">
        <v>183</v>
      </c>
      <c r="F31" s="9">
        <v>1985</v>
      </c>
      <c r="G31" s="13">
        <v>2606.09</v>
      </c>
      <c r="H31" s="13">
        <v>2306.7600000000002</v>
      </c>
      <c r="I31" s="15">
        <v>2.93</v>
      </c>
      <c r="J31" s="14" t="s">
        <v>29</v>
      </c>
      <c r="K31" s="14" t="s">
        <v>29</v>
      </c>
      <c r="L31" s="14" t="s">
        <v>29</v>
      </c>
      <c r="M31" s="14" t="s">
        <v>29</v>
      </c>
      <c r="N31" s="14" t="s">
        <v>29</v>
      </c>
      <c r="O31" s="14" t="s">
        <v>29</v>
      </c>
      <c r="P31" s="14" t="s">
        <v>29</v>
      </c>
      <c r="Q31" s="13">
        <v>2606.09</v>
      </c>
      <c r="R31" s="13">
        <v>2303.83</v>
      </c>
      <c r="S31" s="15">
        <v>2.93</v>
      </c>
    </row>
    <row r="32" spans="1:19" x14ac:dyDescent="0.25">
      <c r="A32" s="9">
        <v>31</v>
      </c>
      <c r="B32" s="10" t="s">
        <v>301</v>
      </c>
      <c r="C32" s="11">
        <v>587</v>
      </c>
      <c r="D32" s="10" t="s">
        <v>234</v>
      </c>
      <c r="E32" s="12">
        <v>32</v>
      </c>
      <c r="F32" s="9">
        <v>2000</v>
      </c>
      <c r="G32" s="13">
        <v>3067.9</v>
      </c>
      <c r="H32" s="13">
        <v>2804.98</v>
      </c>
      <c r="I32" s="15">
        <v>2.87</v>
      </c>
      <c r="J32" s="14" t="s">
        <v>29</v>
      </c>
      <c r="K32" s="14" t="s">
        <v>29</v>
      </c>
      <c r="L32" s="14" t="s">
        <v>29</v>
      </c>
      <c r="M32" s="14" t="s">
        <v>29</v>
      </c>
      <c r="N32" s="14" t="s">
        <v>29</v>
      </c>
      <c r="O32" s="14" t="s">
        <v>29</v>
      </c>
      <c r="P32" s="14" t="s">
        <v>29</v>
      </c>
      <c r="Q32" s="13">
        <v>3067.9</v>
      </c>
      <c r="R32" s="13">
        <v>2802.11</v>
      </c>
      <c r="S32" s="15">
        <v>2.87</v>
      </c>
    </row>
    <row r="33" spans="1:19" x14ac:dyDescent="0.25">
      <c r="A33" s="9">
        <v>32</v>
      </c>
      <c r="B33" s="10" t="s">
        <v>302</v>
      </c>
      <c r="C33" s="11">
        <v>588</v>
      </c>
      <c r="D33" s="10" t="s">
        <v>104</v>
      </c>
      <c r="E33" s="12">
        <v>22</v>
      </c>
      <c r="F33" s="9">
        <v>1984</v>
      </c>
      <c r="G33" s="13">
        <v>1030.06</v>
      </c>
      <c r="H33" s="15">
        <v>890.77</v>
      </c>
      <c r="I33" s="15">
        <v>1.1599999999999999</v>
      </c>
      <c r="J33" s="14" t="s">
        <v>29</v>
      </c>
      <c r="K33" s="14" t="s">
        <v>29</v>
      </c>
      <c r="L33" s="14" t="s">
        <v>29</v>
      </c>
      <c r="M33" s="14" t="s">
        <v>29</v>
      </c>
      <c r="N33" s="14" t="s">
        <v>29</v>
      </c>
      <c r="O33" s="14" t="s">
        <v>29</v>
      </c>
      <c r="P33" s="14" t="s">
        <v>29</v>
      </c>
      <c r="Q33" s="13">
        <v>1030.06</v>
      </c>
      <c r="R33" s="15">
        <v>889.61</v>
      </c>
      <c r="S33" s="15">
        <v>1.1599999999999999</v>
      </c>
    </row>
    <row r="34" spans="1:19" x14ac:dyDescent="0.25">
      <c r="A34" s="9">
        <v>33</v>
      </c>
      <c r="B34" s="10" t="s">
        <v>303</v>
      </c>
      <c r="C34" s="11">
        <v>589</v>
      </c>
      <c r="D34" s="10" t="s">
        <v>104</v>
      </c>
      <c r="E34" s="12">
        <v>26</v>
      </c>
      <c r="F34" s="9">
        <v>1983</v>
      </c>
      <c r="G34" s="13">
        <v>1212.81</v>
      </c>
      <c r="H34" s="13">
        <v>1039.3</v>
      </c>
      <c r="I34" s="15">
        <v>1.38</v>
      </c>
      <c r="J34" s="14" t="s">
        <v>29</v>
      </c>
      <c r="K34" s="14" t="s">
        <v>29</v>
      </c>
      <c r="L34" s="14" t="s">
        <v>29</v>
      </c>
      <c r="M34" s="14" t="s">
        <v>29</v>
      </c>
      <c r="N34" s="14" t="s">
        <v>29</v>
      </c>
      <c r="O34" s="14" t="s">
        <v>29</v>
      </c>
      <c r="P34" s="14" t="s">
        <v>29</v>
      </c>
      <c r="Q34" s="13">
        <v>1212.81</v>
      </c>
      <c r="R34" s="13">
        <v>1037.92</v>
      </c>
      <c r="S34" s="15">
        <v>1.38</v>
      </c>
    </row>
    <row r="35" spans="1:19" x14ac:dyDescent="0.25">
      <c r="A35" s="9">
        <v>34</v>
      </c>
      <c r="B35" s="10" t="s">
        <v>304</v>
      </c>
      <c r="C35" s="11">
        <v>590</v>
      </c>
      <c r="D35" s="10" t="s">
        <v>110</v>
      </c>
      <c r="E35" s="12">
        <v>34</v>
      </c>
      <c r="F35" s="9">
        <v>1980</v>
      </c>
      <c r="G35" s="13">
        <v>7116.66</v>
      </c>
      <c r="H35" s="13">
        <v>6661.55</v>
      </c>
      <c r="I35" s="15">
        <v>8.58</v>
      </c>
      <c r="J35" s="14" t="s">
        <v>29</v>
      </c>
      <c r="K35" s="14" t="s">
        <v>29</v>
      </c>
      <c r="L35" s="14" t="s">
        <v>29</v>
      </c>
      <c r="M35" s="14" t="s">
        <v>29</v>
      </c>
      <c r="N35" s="14" t="s">
        <v>29</v>
      </c>
      <c r="O35" s="14" t="s">
        <v>29</v>
      </c>
      <c r="P35" s="14" t="s">
        <v>29</v>
      </c>
      <c r="Q35" s="13">
        <v>7116.66</v>
      </c>
      <c r="R35" s="13">
        <v>6652.97</v>
      </c>
      <c r="S35" s="15">
        <v>8.58</v>
      </c>
    </row>
    <row r="36" spans="1:19" x14ac:dyDescent="0.25">
      <c r="A36" s="9">
        <v>35</v>
      </c>
      <c r="B36" s="10" t="s">
        <v>305</v>
      </c>
      <c r="C36" s="11">
        <v>591</v>
      </c>
      <c r="D36" s="10" t="s">
        <v>120</v>
      </c>
      <c r="E36" s="12">
        <v>40</v>
      </c>
      <c r="F36" s="9">
        <v>1962</v>
      </c>
      <c r="G36" s="15">
        <v>137.74</v>
      </c>
      <c r="H36" s="15">
        <v>111.23</v>
      </c>
      <c r="I36" s="15">
        <v>0.23</v>
      </c>
      <c r="J36" s="14" t="s">
        <v>29</v>
      </c>
      <c r="K36" s="14" t="s">
        <v>29</v>
      </c>
      <c r="L36" s="14" t="s">
        <v>29</v>
      </c>
      <c r="M36" s="14" t="s">
        <v>29</v>
      </c>
      <c r="N36" s="14" t="s">
        <v>29</v>
      </c>
      <c r="O36" s="14" t="s">
        <v>29</v>
      </c>
      <c r="P36" s="14" t="s">
        <v>29</v>
      </c>
      <c r="Q36" s="15">
        <v>137.74</v>
      </c>
      <c r="R36" s="15">
        <v>111</v>
      </c>
      <c r="S36" s="15">
        <v>0.23</v>
      </c>
    </row>
    <row r="37" spans="1:19" x14ac:dyDescent="0.25">
      <c r="A37" s="9">
        <v>38</v>
      </c>
      <c r="B37" s="10" t="s">
        <v>306</v>
      </c>
      <c r="C37" s="11">
        <v>594</v>
      </c>
      <c r="D37" s="10" t="s">
        <v>185</v>
      </c>
      <c r="E37" s="12">
        <v>39</v>
      </c>
      <c r="F37" s="9">
        <v>1963</v>
      </c>
      <c r="G37" s="15">
        <v>330.27</v>
      </c>
      <c r="H37" s="15">
        <v>282.52999999999997</v>
      </c>
      <c r="I37" s="15">
        <v>0.53</v>
      </c>
      <c r="J37" s="14" t="s">
        <v>29</v>
      </c>
      <c r="K37" s="14" t="s">
        <v>29</v>
      </c>
      <c r="L37" s="14" t="s">
        <v>29</v>
      </c>
      <c r="M37" s="14" t="s">
        <v>29</v>
      </c>
      <c r="N37" s="14" t="s">
        <v>29</v>
      </c>
      <c r="O37" s="14" t="s">
        <v>29</v>
      </c>
      <c r="P37" s="14" t="s">
        <v>29</v>
      </c>
      <c r="Q37" s="15">
        <v>330.27</v>
      </c>
      <c r="R37" s="15">
        <v>282</v>
      </c>
      <c r="S37" s="15">
        <v>0.53</v>
      </c>
    </row>
    <row r="38" spans="1:19" x14ac:dyDescent="0.25">
      <c r="A38" s="9">
        <v>39</v>
      </c>
      <c r="B38" s="10" t="s">
        <v>307</v>
      </c>
      <c r="C38" s="11">
        <v>595</v>
      </c>
      <c r="D38" s="10" t="s">
        <v>185</v>
      </c>
      <c r="E38" s="12">
        <v>41</v>
      </c>
      <c r="F38" s="9">
        <v>1962</v>
      </c>
      <c r="G38" s="15">
        <v>501.47</v>
      </c>
      <c r="H38" s="15">
        <v>273.94</v>
      </c>
      <c r="I38" s="15">
        <v>0.52</v>
      </c>
      <c r="J38" s="14" t="s">
        <v>29</v>
      </c>
      <c r="K38" s="14" t="s">
        <v>29</v>
      </c>
      <c r="L38" s="14" t="s">
        <v>29</v>
      </c>
      <c r="M38" s="14" t="s">
        <v>29</v>
      </c>
      <c r="N38" s="14" t="s">
        <v>29</v>
      </c>
      <c r="O38" s="14" t="s">
        <v>29</v>
      </c>
      <c r="P38" s="14" t="s">
        <v>29</v>
      </c>
      <c r="Q38" s="15">
        <v>501.47</v>
      </c>
      <c r="R38" s="15">
        <v>273.42</v>
      </c>
      <c r="S38" s="15">
        <v>0.52</v>
      </c>
    </row>
    <row r="39" spans="1:19" x14ac:dyDescent="0.25">
      <c r="A39" s="9">
        <v>41</v>
      </c>
      <c r="B39" s="10" t="s">
        <v>308</v>
      </c>
      <c r="C39" s="11">
        <v>597</v>
      </c>
      <c r="D39" s="10" t="s">
        <v>176</v>
      </c>
      <c r="E39" s="12">
        <v>32</v>
      </c>
      <c r="F39" s="9">
        <v>1967</v>
      </c>
      <c r="G39" s="15">
        <v>254.71</v>
      </c>
      <c r="H39" s="15">
        <v>218.36</v>
      </c>
      <c r="I39" s="15">
        <v>0.3</v>
      </c>
      <c r="J39" s="14" t="s">
        <v>29</v>
      </c>
      <c r="K39" s="14" t="s">
        <v>29</v>
      </c>
      <c r="L39" s="14" t="s">
        <v>29</v>
      </c>
      <c r="M39" s="14" t="s">
        <v>29</v>
      </c>
      <c r="N39" s="14" t="s">
        <v>29</v>
      </c>
      <c r="O39" s="14" t="s">
        <v>29</v>
      </c>
      <c r="P39" s="14" t="s">
        <v>29</v>
      </c>
      <c r="Q39" s="15">
        <v>254.71</v>
      </c>
      <c r="R39" s="15">
        <v>218.06</v>
      </c>
      <c r="S39" s="15">
        <v>0.3</v>
      </c>
    </row>
    <row r="40" spans="1:19" x14ac:dyDescent="0.25">
      <c r="A40" s="9">
        <v>44</v>
      </c>
      <c r="B40" s="10" t="s">
        <v>309</v>
      </c>
      <c r="C40" s="11">
        <v>600</v>
      </c>
      <c r="D40" s="10" t="s">
        <v>120</v>
      </c>
      <c r="E40" s="12">
        <v>38</v>
      </c>
      <c r="F40" s="9">
        <v>1961</v>
      </c>
      <c r="G40" s="15">
        <v>139.24</v>
      </c>
      <c r="H40" s="15">
        <v>97.94</v>
      </c>
      <c r="I40" s="15">
        <v>0.23</v>
      </c>
      <c r="J40" s="14" t="s">
        <v>29</v>
      </c>
      <c r="K40" s="14" t="s">
        <v>29</v>
      </c>
      <c r="L40" s="14" t="s">
        <v>29</v>
      </c>
      <c r="M40" s="14" t="s">
        <v>29</v>
      </c>
      <c r="N40" s="14" t="s">
        <v>29</v>
      </c>
      <c r="O40" s="14" t="s">
        <v>29</v>
      </c>
      <c r="P40" s="14" t="s">
        <v>29</v>
      </c>
      <c r="Q40" s="15">
        <v>139.24</v>
      </c>
      <c r="R40" s="15">
        <v>97.71</v>
      </c>
      <c r="S40" s="15">
        <v>0.23</v>
      </c>
    </row>
    <row r="41" spans="1:19" x14ac:dyDescent="0.25">
      <c r="A41" s="9">
        <v>45</v>
      </c>
      <c r="B41" s="10" t="s">
        <v>310</v>
      </c>
      <c r="C41" s="11">
        <v>601</v>
      </c>
      <c r="D41" s="10" t="s">
        <v>94</v>
      </c>
      <c r="E41" s="12">
        <v>117</v>
      </c>
      <c r="F41" s="9">
        <v>1974</v>
      </c>
      <c r="G41" s="15">
        <v>267.19</v>
      </c>
      <c r="H41" s="15">
        <v>224.81</v>
      </c>
      <c r="I41" s="15">
        <v>0.35</v>
      </c>
      <c r="J41" s="14" t="s">
        <v>29</v>
      </c>
      <c r="K41" s="14" t="s">
        <v>29</v>
      </c>
      <c r="L41" s="14" t="s">
        <v>29</v>
      </c>
      <c r="M41" s="14" t="s">
        <v>29</v>
      </c>
      <c r="N41" s="14" t="s">
        <v>29</v>
      </c>
      <c r="O41" s="14" t="s">
        <v>29</v>
      </c>
      <c r="P41" s="14" t="s">
        <v>29</v>
      </c>
      <c r="Q41" s="15">
        <v>267.19</v>
      </c>
      <c r="R41" s="15">
        <v>224.46</v>
      </c>
      <c r="S41" s="15">
        <v>0.35</v>
      </c>
    </row>
    <row r="42" spans="1:19" x14ac:dyDescent="0.25">
      <c r="A42" s="9">
        <v>46</v>
      </c>
      <c r="B42" s="10" t="s">
        <v>311</v>
      </c>
      <c r="C42" s="11">
        <v>604</v>
      </c>
      <c r="D42" s="10" t="s">
        <v>204</v>
      </c>
      <c r="E42" s="12">
        <v>38</v>
      </c>
      <c r="F42" s="9">
        <v>1982</v>
      </c>
      <c r="G42" s="15">
        <v>310.5</v>
      </c>
      <c r="H42" s="15">
        <v>280.54000000000002</v>
      </c>
      <c r="I42" s="15">
        <v>0.36</v>
      </c>
      <c r="J42" s="14" t="s">
        <v>29</v>
      </c>
      <c r="K42" s="14" t="s">
        <v>29</v>
      </c>
      <c r="L42" s="14" t="s">
        <v>29</v>
      </c>
      <c r="M42" s="14" t="s">
        <v>29</v>
      </c>
      <c r="N42" s="14" t="s">
        <v>29</v>
      </c>
      <c r="O42" s="14" t="s">
        <v>29</v>
      </c>
      <c r="P42" s="14" t="s">
        <v>29</v>
      </c>
      <c r="Q42" s="15">
        <v>310.5</v>
      </c>
      <c r="R42" s="15">
        <v>280.18</v>
      </c>
      <c r="S42" s="15">
        <v>0.36</v>
      </c>
    </row>
    <row r="43" spans="1:19" x14ac:dyDescent="0.25">
      <c r="A43" s="9">
        <v>47</v>
      </c>
      <c r="B43" s="10" t="s">
        <v>312</v>
      </c>
      <c r="C43" s="11">
        <v>605</v>
      </c>
      <c r="D43" s="10" t="s">
        <v>204</v>
      </c>
      <c r="E43" s="12">
        <v>46</v>
      </c>
      <c r="F43" s="9">
        <v>1967</v>
      </c>
      <c r="G43" s="13">
        <v>1630.3</v>
      </c>
      <c r="H43" s="13">
        <v>1398.03</v>
      </c>
      <c r="I43" s="15">
        <v>2.41</v>
      </c>
      <c r="J43" s="14" t="s">
        <v>29</v>
      </c>
      <c r="K43" s="14" t="s">
        <v>29</v>
      </c>
      <c r="L43" s="14" t="s">
        <v>29</v>
      </c>
      <c r="M43" s="14" t="s">
        <v>29</v>
      </c>
      <c r="N43" s="14" t="s">
        <v>29</v>
      </c>
      <c r="O43" s="14" t="s">
        <v>29</v>
      </c>
      <c r="P43" s="14" t="s">
        <v>29</v>
      </c>
      <c r="Q43" s="13">
        <v>1630.3</v>
      </c>
      <c r="R43" s="13">
        <v>1395.62</v>
      </c>
      <c r="S43" s="15">
        <v>2.41</v>
      </c>
    </row>
    <row r="44" spans="1:19" x14ac:dyDescent="0.25">
      <c r="A44" s="9">
        <v>48</v>
      </c>
      <c r="B44" s="10" t="s">
        <v>313</v>
      </c>
      <c r="C44" s="11">
        <v>606</v>
      </c>
      <c r="D44" s="10" t="s">
        <v>204</v>
      </c>
      <c r="E44" s="12">
        <v>48</v>
      </c>
      <c r="F44" s="9">
        <v>1970</v>
      </c>
      <c r="G44" s="13">
        <v>1477.7</v>
      </c>
      <c r="H44" s="13">
        <v>1261.32</v>
      </c>
      <c r="I44" s="15">
        <v>2.08</v>
      </c>
      <c r="J44" s="14" t="s">
        <v>29</v>
      </c>
      <c r="K44" s="14" t="s">
        <v>29</v>
      </c>
      <c r="L44" s="14" t="s">
        <v>29</v>
      </c>
      <c r="M44" s="14" t="s">
        <v>29</v>
      </c>
      <c r="N44" s="14" t="s">
        <v>29</v>
      </c>
      <c r="O44" s="14" t="s">
        <v>29</v>
      </c>
      <c r="P44" s="14" t="s">
        <v>29</v>
      </c>
      <c r="Q44" s="13">
        <v>1477.7</v>
      </c>
      <c r="R44" s="13">
        <v>1259.24</v>
      </c>
      <c r="S44" s="15">
        <v>2.08</v>
      </c>
    </row>
    <row r="45" spans="1:19" x14ac:dyDescent="0.25">
      <c r="A45" s="9">
        <v>50</v>
      </c>
      <c r="B45" s="10" t="s">
        <v>314</v>
      </c>
      <c r="C45" s="11">
        <v>610</v>
      </c>
      <c r="D45" s="10" t="s">
        <v>171</v>
      </c>
      <c r="E45" s="12">
        <v>18</v>
      </c>
      <c r="F45" s="9">
        <v>2012</v>
      </c>
      <c r="G45" s="13">
        <v>8340.2800000000007</v>
      </c>
      <c r="H45" s="13">
        <v>5695.75</v>
      </c>
      <c r="I45" s="15">
        <v>31.89</v>
      </c>
      <c r="J45" s="14" t="s">
        <v>29</v>
      </c>
      <c r="K45" s="14" t="s">
        <v>29</v>
      </c>
      <c r="L45" s="14" t="s">
        <v>29</v>
      </c>
      <c r="M45" s="14" t="s">
        <v>29</v>
      </c>
      <c r="N45" s="14" t="s">
        <v>29</v>
      </c>
      <c r="O45" s="14" t="s">
        <v>29</v>
      </c>
      <c r="P45" s="14" t="s">
        <v>29</v>
      </c>
      <c r="Q45" s="13">
        <v>8340.2800000000007</v>
      </c>
      <c r="R45" s="13">
        <v>5663.86</v>
      </c>
      <c r="S45" s="15">
        <v>31.89</v>
      </c>
    </row>
    <row r="46" spans="1:19" x14ac:dyDescent="0.25">
      <c r="A46" s="9">
        <v>51</v>
      </c>
      <c r="B46" s="10" t="s">
        <v>315</v>
      </c>
      <c r="C46" s="11">
        <v>611</v>
      </c>
      <c r="D46" s="10" t="s">
        <v>50</v>
      </c>
      <c r="E46" s="12">
        <v>2</v>
      </c>
      <c r="F46" s="9">
        <v>2012</v>
      </c>
      <c r="G46" s="13">
        <v>1280.58</v>
      </c>
      <c r="H46" s="15">
        <v>927.35</v>
      </c>
      <c r="I46" s="15">
        <v>3.78</v>
      </c>
      <c r="J46" s="14" t="s">
        <v>29</v>
      </c>
      <c r="K46" s="14" t="s">
        <v>29</v>
      </c>
      <c r="L46" s="14" t="s">
        <v>29</v>
      </c>
      <c r="M46" s="14" t="s">
        <v>29</v>
      </c>
      <c r="N46" s="14" t="s">
        <v>29</v>
      </c>
      <c r="O46" s="14" t="s">
        <v>29</v>
      </c>
      <c r="P46" s="14" t="s">
        <v>29</v>
      </c>
      <c r="Q46" s="13">
        <v>1280.58</v>
      </c>
      <c r="R46" s="15">
        <v>923.57</v>
      </c>
      <c r="S46" s="15">
        <v>3.78</v>
      </c>
    </row>
    <row r="47" spans="1:19" x14ac:dyDescent="0.25">
      <c r="A47" s="9">
        <v>53</v>
      </c>
      <c r="B47" s="10" t="s">
        <v>316</v>
      </c>
      <c r="C47" s="11">
        <v>616</v>
      </c>
      <c r="D47" s="10" t="s">
        <v>33</v>
      </c>
      <c r="E47" s="12">
        <v>45</v>
      </c>
      <c r="F47" s="9">
        <v>2012</v>
      </c>
      <c r="G47" s="15">
        <v>898.41</v>
      </c>
      <c r="H47" s="15">
        <v>776.15</v>
      </c>
      <c r="I47" s="15">
        <v>1.1599999999999999</v>
      </c>
      <c r="J47" s="14" t="s">
        <v>29</v>
      </c>
      <c r="K47" s="14" t="s">
        <v>29</v>
      </c>
      <c r="L47" s="14" t="s">
        <v>29</v>
      </c>
      <c r="M47" s="14" t="s">
        <v>29</v>
      </c>
      <c r="N47" s="14" t="s">
        <v>29</v>
      </c>
      <c r="O47" s="14" t="s">
        <v>29</v>
      </c>
      <c r="P47" s="14" t="s">
        <v>29</v>
      </c>
      <c r="Q47" s="15">
        <v>898.41</v>
      </c>
      <c r="R47" s="15">
        <v>774.99</v>
      </c>
      <c r="S47" s="15">
        <v>1.1599999999999999</v>
      </c>
    </row>
    <row r="48" spans="1:19" x14ac:dyDescent="0.25">
      <c r="A48" s="9">
        <v>56</v>
      </c>
      <c r="B48" s="10" t="s">
        <v>317</v>
      </c>
      <c r="C48" s="11">
        <v>619</v>
      </c>
      <c r="D48" s="10" t="s">
        <v>167</v>
      </c>
      <c r="E48" s="12">
        <v>12</v>
      </c>
      <c r="F48" s="9">
        <v>2012</v>
      </c>
      <c r="G48" s="13">
        <v>5722.06</v>
      </c>
      <c r="H48" s="13">
        <v>2810.34</v>
      </c>
      <c r="I48" s="15">
        <v>3.18</v>
      </c>
      <c r="J48" s="14" t="s">
        <v>29</v>
      </c>
      <c r="K48" s="14" t="s">
        <v>29</v>
      </c>
      <c r="L48" s="14" t="s">
        <v>29</v>
      </c>
      <c r="M48" s="14" t="s">
        <v>29</v>
      </c>
      <c r="N48" s="14" t="s">
        <v>29</v>
      </c>
      <c r="O48" s="14" t="s">
        <v>29</v>
      </c>
      <c r="P48" s="14" t="s">
        <v>29</v>
      </c>
      <c r="Q48" s="13">
        <v>5722.06</v>
      </c>
      <c r="R48" s="13">
        <v>2807.16</v>
      </c>
      <c r="S48" s="15">
        <v>3.18</v>
      </c>
    </row>
    <row r="49" spans="1:19" x14ac:dyDescent="0.25">
      <c r="A49" s="9">
        <v>60</v>
      </c>
      <c r="B49" s="10" t="s">
        <v>318</v>
      </c>
      <c r="C49" s="11">
        <v>623</v>
      </c>
      <c r="D49" s="10" t="s">
        <v>37</v>
      </c>
      <c r="E49" s="12">
        <v>46</v>
      </c>
      <c r="F49" s="9">
        <v>2012</v>
      </c>
      <c r="G49" s="15">
        <v>69.48</v>
      </c>
      <c r="H49" s="15">
        <v>59.32</v>
      </c>
      <c r="I49" s="15">
        <v>0.08</v>
      </c>
      <c r="J49" s="14" t="s">
        <v>29</v>
      </c>
      <c r="K49" s="14" t="s">
        <v>29</v>
      </c>
      <c r="L49" s="14" t="s">
        <v>29</v>
      </c>
      <c r="M49" s="14" t="s">
        <v>29</v>
      </c>
      <c r="N49" s="14" t="s">
        <v>29</v>
      </c>
      <c r="O49" s="14" t="s">
        <v>29</v>
      </c>
      <c r="P49" s="14" t="s">
        <v>29</v>
      </c>
      <c r="Q49" s="15">
        <v>69.48</v>
      </c>
      <c r="R49" s="15">
        <v>59.24</v>
      </c>
      <c r="S49" s="15">
        <v>0.08</v>
      </c>
    </row>
    <row r="50" spans="1:19" x14ac:dyDescent="0.25">
      <c r="A50" s="9">
        <v>61</v>
      </c>
      <c r="B50" s="10" t="s">
        <v>319</v>
      </c>
      <c r="C50" s="11">
        <v>624</v>
      </c>
      <c r="D50" s="10" t="s">
        <v>28</v>
      </c>
      <c r="E50" s="12">
        <v>12</v>
      </c>
      <c r="F50" s="9">
        <v>2012</v>
      </c>
      <c r="G50" s="13">
        <v>2382.88</v>
      </c>
      <c r="H50" s="13">
        <v>2192.61</v>
      </c>
      <c r="I50" s="15">
        <v>3.31</v>
      </c>
      <c r="J50" s="14" t="s">
        <v>29</v>
      </c>
      <c r="K50" s="14" t="s">
        <v>29</v>
      </c>
      <c r="L50" s="14" t="s">
        <v>29</v>
      </c>
      <c r="M50" s="14" t="s">
        <v>29</v>
      </c>
      <c r="N50" s="14" t="s">
        <v>29</v>
      </c>
      <c r="O50" s="14" t="s">
        <v>29</v>
      </c>
      <c r="P50" s="14" t="s">
        <v>29</v>
      </c>
      <c r="Q50" s="13">
        <v>2382.88</v>
      </c>
      <c r="R50" s="13">
        <v>2189.3000000000002</v>
      </c>
      <c r="S50" s="15">
        <v>3.31</v>
      </c>
    </row>
    <row r="51" spans="1:19" x14ac:dyDescent="0.25">
      <c r="A51" s="9">
        <v>64</v>
      </c>
      <c r="B51" s="10" t="s">
        <v>320</v>
      </c>
      <c r="C51" s="11">
        <v>628</v>
      </c>
      <c r="D51" s="10" t="s">
        <v>77</v>
      </c>
      <c r="E51" s="12">
        <v>270</v>
      </c>
      <c r="F51" s="9">
        <v>2012</v>
      </c>
      <c r="G51" s="13">
        <v>1381.33</v>
      </c>
      <c r="H51" s="13">
        <v>1010.05</v>
      </c>
      <c r="I51" s="15">
        <v>1.59</v>
      </c>
      <c r="J51" s="14" t="s">
        <v>29</v>
      </c>
      <c r="K51" s="14" t="s">
        <v>29</v>
      </c>
      <c r="L51" s="14" t="s">
        <v>29</v>
      </c>
      <c r="M51" s="14" t="s">
        <v>29</v>
      </c>
      <c r="N51" s="14" t="s">
        <v>29</v>
      </c>
      <c r="O51" s="14" t="s">
        <v>29</v>
      </c>
      <c r="P51" s="14" t="s">
        <v>29</v>
      </c>
      <c r="Q51" s="13">
        <v>1381.33</v>
      </c>
      <c r="R51" s="13">
        <v>1008.46</v>
      </c>
      <c r="S51" s="15">
        <v>1.59</v>
      </c>
    </row>
    <row r="52" spans="1:19" x14ac:dyDescent="0.25">
      <c r="A52" s="9">
        <v>65</v>
      </c>
      <c r="B52" s="10" t="s">
        <v>321</v>
      </c>
      <c r="C52" s="11">
        <v>629</v>
      </c>
      <c r="D52" s="10" t="s">
        <v>204</v>
      </c>
      <c r="E52" s="12">
        <v>44</v>
      </c>
      <c r="F52" s="9">
        <v>2012</v>
      </c>
      <c r="G52" s="13">
        <v>4250.29</v>
      </c>
      <c r="H52" s="13">
        <v>3742.11</v>
      </c>
      <c r="I52" s="15">
        <v>5.26</v>
      </c>
      <c r="J52" s="14" t="s">
        <v>29</v>
      </c>
      <c r="K52" s="14" t="s">
        <v>29</v>
      </c>
      <c r="L52" s="14" t="s">
        <v>29</v>
      </c>
      <c r="M52" s="14" t="s">
        <v>29</v>
      </c>
      <c r="N52" s="14" t="s">
        <v>29</v>
      </c>
      <c r="O52" s="14" t="s">
        <v>29</v>
      </c>
      <c r="P52" s="14" t="s">
        <v>29</v>
      </c>
      <c r="Q52" s="13">
        <v>4250.29</v>
      </c>
      <c r="R52" s="13">
        <v>3736.85</v>
      </c>
      <c r="S52" s="15">
        <v>5.26</v>
      </c>
    </row>
    <row r="53" spans="1:19" x14ac:dyDescent="0.25">
      <c r="A53" s="9">
        <v>68</v>
      </c>
      <c r="B53" s="10" t="s">
        <v>322</v>
      </c>
      <c r="C53" s="11">
        <v>632</v>
      </c>
      <c r="D53" s="10" t="s">
        <v>195</v>
      </c>
      <c r="E53" s="10" t="s">
        <v>228</v>
      </c>
      <c r="F53" s="9">
        <v>2012</v>
      </c>
      <c r="G53" s="15">
        <v>576.95000000000005</v>
      </c>
      <c r="H53" s="15">
        <v>394.47</v>
      </c>
      <c r="I53" s="15">
        <v>2.21</v>
      </c>
      <c r="J53" s="14" t="s">
        <v>29</v>
      </c>
      <c r="K53" s="14" t="s">
        <v>29</v>
      </c>
      <c r="L53" s="14" t="s">
        <v>29</v>
      </c>
      <c r="M53" s="14" t="s">
        <v>29</v>
      </c>
      <c r="N53" s="14" t="s">
        <v>29</v>
      </c>
      <c r="O53" s="14" t="s">
        <v>29</v>
      </c>
      <c r="P53" s="14" t="s">
        <v>29</v>
      </c>
      <c r="Q53" s="15">
        <v>576.95000000000005</v>
      </c>
      <c r="R53" s="15">
        <v>392.26</v>
      </c>
      <c r="S53" s="15">
        <v>2.21</v>
      </c>
    </row>
    <row r="54" spans="1:19" x14ac:dyDescent="0.25">
      <c r="A54" s="9">
        <v>70</v>
      </c>
      <c r="B54" s="10" t="s">
        <v>323</v>
      </c>
      <c r="C54" s="11">
        <v>634</v>
      </c>
      <c r="D54" s="10" t="s">
        <v>195</v>
      </c>
      <c r="E54" s="12">
        <v>20</v>
      </c>
      <c r="F54" s="9">
        <v>2012</v>
      </c>
      <c r="G54" s="15">
        <v>492.6</v>
      </c>
      <c r="H54" s="15">
        <v>383.55</v>
      </c>
      <c r="I54" s="15">
        <v>0.79</v>
      </c>
      <c r="J54" s="14" t="s">
        <v>29</v>
      </c>
      <c r="K54" s="14" t="s">
        <v>29</v>
      </c>
      <c r="L54" s="14" t="s">
        <v>29</v>
      </c>
      <c r="M54" s="14" t="s">
        <v>29</v>
      </c>
      <c r="N54" s="14" t="s">
        <v>29</v>
      </c>
      <c r="O54" s="14" t="s">
        <v>29</v>
      </c>
      <c r="P54" s="14" t="s">
        <v>29</v>
      </c>
      <c r="Q54" s="15">
        <v>492.6</v>
      </c>
      <c r="R54" s="15">
        <v>382.76</v>
      </c>
      <c r="S54" s="15">
        <v>0.79</v>
      </c>
    </row>
    <row r="55" spans="1:19" x14ac:dyDescent="0.25">
      <c r="A55" s="9">
        <v>71</v>
      </c>
      <c r="B55" s="10" t="s">
        <v>324</v>
      </c>
      <c r="C55" s="11">
        <v>635</v>
      </c>
      <c r="D55" s="10" t="s">
        <v>195</v>
      </c>
      <c r="E55" s="12">
        <v>30</v>
      </c>
      <c r="F55" s="9">
        <v>2012</v>
      </c>
      <c r="G55" s="15">
        <v>989.65</v>
      </c>
      <c r="H55" s="15">
        <v>887.89</v>
      </c>
      <c r="I55" s="15">
        <v>0.99</v>
      </c>
      <c r="J55" s="14" t="s">
        <v>29</v>
      </c>
      <c r="K55" s="14" t="s">
        <v>29</v>
      </c>
      <c r="L55" s="14" t="s">
        <v>29</v>
      </c>
      <c r="M55" s="14" t="s">
        <v>29</v>
      </c>
      <c r="N55" s="14" t="s">
        <v>29</v>
      </c>
      <c r="O55" s="14" t="s">
        <v>29</v>
      </c>
      <c r="P55" s="14" t="s">
        <v>29</v>
      </c>
      <c r="Q55" s="15">
        <v>989.65</v>
      </c>
      <c r="R55" s="15">
        <v>886.9</v>
      </c>
      <c r="S55" s="15">
        <v>0.99</v>
      </c>
    </row>
    <row r="56" spans="1:19" s="30" customFormat="1" x14ac:dyDescent="0.25">
      <c r="A56" s="25">
        <v>73</v>
      </c>
      <c r="B56" s="26" t="s">
        <v>325</v>
      </c>
      <c r="C56" s="27">
        <v>637</v>
      </c>
      <c r="D56" s="26" t="s">
        <v>240</v>
      </c>
      <c r="E56" s="28">
        <v>1</v>
      </c>
      <c r="F56" s="25">
        <v>2012</v>
      </c>
      <c r="G56" s="24">
        <v>757.2</v>
      </c>
      <c r="H56" s="24">
        <v>606.16999999999996</v>
      </c>
      <c r="I56" s="24">
        <v>0.74</v>
      </c>
      <c r="J56" s="29" t="s">
        <v>29</v>
      </c>
      <c r="K56" s="29" t="s">
        <v>29</v>
      </c>
      <c r="L56" s="29" t="s">
        <v>29</v>
      </c>
      <c r="M56" s="29" t="s">
        <v>29</v>
      </c>
      <c r="N56" s="29" t="s">
        <v>29</v>
      </c>
      <c r="O56" s="29" t="s">
        <v>29</v>
      </c>
      <c r="P56" s="29" t="s">
        <v>29</v>
      </c>
      <c r="Q56" s="24">
        <v>757.2</v>
      </c>
      <c r="R56" s="24">
        <v>605.42999999999995</v>
      </c>
      <c r="S56" s="24">
        <v>0.74</v>
      </c>
    </row>
    <row r="57" spans="1:19" x14ac:dyDescent="0.25">
      <c r="A57" s="9">
        <v>74</v>
      </c>
      <c r="B57" s="10" t="s">
        <v>326</v>
      </c>
      <c r="C57" s="11">
        <v>638</v>
      </c>
      <c r="D57" s="10" t="s">
        <v>77</v>
      </c>
      <c r="E57" s="12">
        <v>268</v>
      </c>
      <c r="F57" s="9">
        <v>2012</v>
      </c>
      <c r="G57" s="15">
        <v>949.49</v>
      </c>
      <c r="H57" s="15">
        <v>806.5</v>
      </c>
      <c r="I57" s="15">
        <v>1.04</v>
      </c>
      <c r="J57" s="14" t="s">
        <v>29</v>
      </c>
      <c r="K57" s="14" t="s">
        <v>29</v>
      </c>
      <c r="L57" s="14" t="s">
        <v>29</v>
      </c>
      <c r="M57" s="14" t="s">
        <v>29</v>
      </c>
      <c r="N57" s="14" t="s">
        <v>29</v>
      </c>
      <c r="O57" s="14" t="s">
        <v>29</v>
      </c>
      <c r="P57" s="14" t="s">
        <v>29</v>
      </c>
      <c r="Q57" s="15">
        <v>949.49</v>
      </c>
      <c r="R57" s="15">
        <v>805.46</v>
      </c>
      <c r="S57" s="15">
        <v>1.04</v>
      </c>
    </row>
    <row r="58" spans="1:19" x14ac:dyDescent="0.25">
      <c r="A58" s="9">
        <v>75</v>
      </c>
      <c r="B58" s="10" t="s">
        <v>327</v>
      </c>
      <c r="C58" s="11">
        <v>639</v>
      </c>
      <c r="D58" s="10" t="s">
        <v>247</v>
      </c>
      <c r="E58" s="12">
        <v>38</v>
      </c>
      <c r="F58" s="9">
        <v>2012</v>
      </c>
      <c r="G58" s="13">
        <v>3816.43</v>
      </c>
      <c r="H58" s="13">
        <v>3422.95</v>
      </c>
      <c r="I58" s="15">
        <v>4.29</v>
      </c>
      <c r="J58" s="14" t="s">
        <v>29</v>
      </c>
      <c r="K58" s="14" t="s">
        <v>29</v>
      </c>
      <c r="L58" s="14" t="s">
        <v>29</v>
      </c>
      <c r="M58" s="14" t="s">
        <v>29</v>
      </c>
      <c r="N58" s="14" t="s">
        <v>29</v>
      </c>
      <c r="O58" s="14" t="s">
        <v>29</v>
      </c>
      <c r="P58" s="14" t="s">
        <v>29</v>
      </c>
      <c r="Q58" s="13">
        <v>3816.43</v>
      </c>
      <c r="R58" s="13">
        <v>3418.66</v>
      </c>
      <c r="S58" s="15">
        <v>4.29</v>
      </c>
    </row>
    <row r="59" spans="1:19" x14ac:dyDescent="0.25">
      <c r="A59" s="9">
        <v>76</v>
      </c>
      <c r="B59" s="10" t="s">
        <v>328</v>
      </c>
      <c r="C59" s="11">
        <v>640</v>
      </c>
      <c r="D59" s="10" t="s">
        <v>171</v>
      </c>
      <c r="E59" s="12">
        <v>27</v>
      </c>
      <c r="F59" s="9">
        <v>2012</v>
      </c>
      <c r="G59" s="13">
        <v>1688.01</v>
      </c>
      <c r="H59" s="13">
        <v>1563.31</v>
      </c>
      <c r="I59" s="15">
        <v>2.1</v>
      </c>
      <c r="J59" s="14" t="s">
        <v>29</v>
      </c>
      <c r="K59" s="14" t="s">
        <v>29</v>
      </c>
      <c r="L59" s="14" t="s">
        <v>29</v>
      </c>
      <c r="M59" s="14" t="s">
        <v>29</v>
      </c>
      <c r="N59" s="14" t="s">
        <v>29</v>
      </c>
      <c r="O59" s="14" t="s">
        <v>29</v>
      </c>
      <c r="P59" s="14" t="s">
        <v>29</v>
      </c>
      <c r="Q59" s="13">
        <v>1688.01</v>
      </c>
      <c r="R59" s="13">
        <v>1561.21</v>
      </c>
      <c r="S59" s="15">
        <v>2.1</v>
      </c>
    </row>
    <row r="60" spans="1:19" x14ac:dyDescent="0.25">
      <c r="A60" s="9">
        <v>77</v>
      </c>
      <c r="B60" s="10" t="s">
        <v>329</v>
      </c>
      <c r="C60" s="11">
        <v>641</v>
      </c>
      <c r="D60" s="10" t="s">
        <v>171</v>
      </c>
      <c r="E60" s="12">
        <v>29</v>
      </c>
      <c r="F60" s="9">
        <v>2012</v>
      </c>
      <c r="G60" s="13">
        <v>3349.48</v>
      </c>
      <c r="H60" s="13">
        <v>3057.6</v>
      </c>
      <c r="I60" s="15">
        <v>4.04</v>
      </c>
      <c r="J60" s="14" t="s">
        <v>29</v>
      </c>
      <c r="K60" s="14" t="s">
        <v>29</v>
      </c>
      <c r="L60" s="14" t="s">
        <v>29</v>
      </c>
      <c r="M60" s="14" t="s">
        <v>29</v>
      </c>
      <c r="N60" s="14" t="s">
        <v>29</v>
      </c>
      <c r="O60" s="14" t="s">
        <v>29</v>
      </c>
      <c r="P60" s="14" t="s">
        <v>29</v>
      </c>
      <c r="Q60" s="13">
        <v>3349.48</v>
      </c>
      <c r="R60" s="13">
        <v>3053.56</v>
      </c>
      <c r="S60" s="15">
        <v>4.04</v>
      </c>
    </row>
    <row r="61" spans="1:19" x14ac:dyDescent="0.25">
      <c r="A61" s="9">
        <v>78</v>
      </c>
      <c r="B61" s="10" t="s">
        <v>330</v>
      </c>
      <c r="C61" s="11">
        <v>642</v>
      </c>
      <c r="D61" s="10" t="s">
        <v>33</v>
      </c>
      <c r="E61" s="12">
        <v>59</v>
      </c>
      <c r="F61" s="9">
        <v>2012</v>
      </c>
      <c r="G61" s="15">
        <v>598.16</v>
      </c>
      <c r="H61" s="15">
        <v>485.49</v>
      </c>
      <c r="I61" s="15">
        <v>0.66</v>
      </c>
      <c r="J61" s="14" t="s">
        <v>29</v>
      </c>
      <c r="K61" s="14" t="s">
        <v>29</v>
      </c>
      <c r="L61" s="14" t="s">
        <v>29</v>
      </c>
      <c r="M61" s="14" t="s">
        <v>29</v>
      </c>
      <c r="N61" s="14" t="s">
        <v>29</v>
      </c>
      <c r="O61" s="14" t="s">
        <v>29</v>
      </c>
      <c r="P61" s="14" t="s">
        <v>29</v>
      </c>
      <c r="Q61" s="15">
        <v>598.16</v>
      </c>
      <c r="R61" s="15">
        <v>484.83</v>
      </c>
      <c r="S61" s="15">
        <v>0.66</v>
      </c>
    </row>
    <row r="62" spans="1:19" x14ac:dyDescent="0.25">
      <c r="A62" s="9">
        <v>79</v>
      </c>
      <c r="B62" s="10" t="s">
        <v>331</v>
      </c>
      <c r="C62" s="11">
        <v>643</v>
      </c>
      <c r="D62" s="10" t="s">
        <v>110</v>
      </c>
      <c r="E62" s="12">
        <v>32</v>
      </c>
      <c r="F62" s="9">
        <v>2012</v>
      </c>
      <c r="G62" s="13">
        <v>3313.31</v>
      </c>
      <c r="H62" s="13">
        <v>3117.29</v>
      </c>
      <c r="I62" s="15">
        <v>4.18</v>
      </c>
      <c r="J62" s="14" t="s">
        <v>29</v>
      </c>
      <c r="K62" s="14" t="s">
        <v>29</v>
      </c>
      <c r="L62" s="14" t="s">
        <v>29</v>
      </c>
      <c r="M62" s="14" t="s">
        <v>29</v>
      </c>
      <c r="N62" s="14" t="s">
        <v>29</v>
      </c>
      <c r="O62" s="14" t="s">
        <v>29</v>
      </c>
      <c r="P62" s="14" t="s">
        <v>29</v>
      </c>
      <c r="Q62" s="13">
        <v>3313.31</v>
      </c>
      <c r="R62" s="13">
        <v>3113.11</v>
      </c>
      <c r="S62" s="15">
        <v>4.18</v>
      </c>
    </row>
    <row r="63" spans="1:19" x14ac:dyDescent="0.25">
      <c r="A63" s="9">
        <v>80</v>
      </c>
      <c r="B63" s="10" t="s">
        <v>332</v>
      </c>
      <c r="C63" s="11">
        <v>644</v>
      </c>
      <c r="D63" s="10" t="s">
        <v>110</v>
      </c>
      <c r="E63" s="12">
        <v>30</v>
      </c>
      <c r="F63" s="9">
        <v>2012</v>
      </c>
      <c r="G63" s="13">
        <v>2953.35</v>
      </c>
      <c r="H63" s="13">
        <v>2727.99</v>
      </c>
      <c r="I63" s="15">
        <v>3.73</v>
      </c>
      <c r="J63" s="14" t="s">
        <v>29</v>
      </c>
      <c r="K63" s="14" t="s">
        <v>29</v>
      </c>
      <c r="L63" s="14" t="s">
        <v>29</v>
      </c>
      <c r="M63" s="14" t="s">
        <v>29</v>
      </c>
      <c r="N63" s="14" t="s">
        <v>29</v>
      </c>
      <c r="O63" s="14" t="s">
        <v>29</v>
      </c>
      <c r="P63" s="14" t="s">
        <v>29</v>
      </c>
      <c r="Q63" s="13">
        <v>2953.35</v>
      </c>
      <c r="R63" s="13">
        <v>2724.26</v>
      </c>
      <c r="S63" s="15">
        <v>3.73</v>
      </c>
    </row>
    <row r="64" spans="1:19" x14ac:dyDescent="0.25">
      <c r="A64" s="9">
        <v>81</v>
      </c>
      <c r="B64" s="10" t="s">
        <v>333</v>
      </c>
      <c r="C64" s="11">
        <v>645</v>
      </c>
      <c r="D64" s="10" t="s">
        <v>110</v>
      </c>
      <c r="E64" s="12">
        <v>18</v>
      </c>
      <c r="F64" s="9">
        <v>2012</v>
      </c>
      <c r="G64" s="13">
        <v>4198.5600000000004</v>
      </c>
      <c r="H64" s="13">
        <v>3919.41</v>
      </c>
      <c r="I64" s="15">
        <v>5.22</v>
      </c>
      <c r="J64" s="14" t="s">
        <v>29</v>
      </c>
      <c r="K64" s="14" t="s">
        <v>29</v>
      </c>
      <c r="L64" s="14" t="s">
        <v>29</v>
      </c>
      <c r="M64" s="14" t="s">
        <v>29</v>
      </c>
      <c r="N64" s="14" t="s">
        <v>29</v>
      </c>
      <c r="O64" s="14" t="s">
        <v>29</v>
      </c>
      <c r="P64" s="14" t="s">
        <v>29</v>
      </c>
      <c r="Q64" s="13">
        <v>4198.5600000000004</v>
      </c>
      <c r="R64" s="13">
        <v>3914.19</v>
      </c>
      <c r="S64" s="15">
        <v>5.22</v>
      </c>
    </row>
    <row r="65" spans="1:19" x14ac:dyDescent="0.25">
      <c r="A65" s="9">
        <v>82</v>
      </c>
      <c r="B65" s="10" t="s">
        <v>334</v>
      </c>
      <c r="C65" s="11">
        <v>646</v>
      </c>
      <c r="D65" s="10" t="s">
        <v>171</v>
      </c>
      <c r="E65" s="12">
        <v>33</v>
      </c>
      <c r="F65" s="9">
        <v>2012</v>
      </c>
      <c r="G65" s="13">
        <v>1085.8499999999999</v>
      </c>
      <c r="H65" s="15">
        <v>937.39</v>
      </c>
      <c r="I65" s="15">
        <v>1.48</v>
      </c>
      <c r="J65" s="14" t="s">
        <v>29</v>
      </c>
      <c r="K65" s="14" t="s">
        <v>29</v>
      </c>
      <c r="L65" s="14" t="s">
        <v>29</v>
      </c>
      <c r="M65" s="14" t="s">
        <v>29</v>
      </c>
      <c r="N65" s="14" t="s">
        <v>29</v>
      </c>
      <c r="O65" s="14" t="s">
        <v>29</v>
      </c>
      <c r="P65" s="14" t="s">
        <v>29</v>
      </c>
      <c r="Q65" s="13">
        <v>1085.8499999999999</v>
      </c>
      <c r="R65" s="15">
        <v>935.91</v>
      </c>
      <c r="S65" s="15">
        <v>1.48</v>
      </c>
    </row>
    <row r="66" spans="1:19" x14ac:dyDescent="0.25">
      <c r="A66" s="9">
        <v>83</v>
      </c>
      <c r="B66" s="10" t="s">
        <v>335</v>
      </c>
      <c r="C66" s="11">
        <v>647</v>
      </c>
      <c r="D66" s="10" t="s">
        <v>171</v>
      </c>
      <c r="E66" s="12">
        <v>44</v>
      </c>
      <c r="F66" s="9">
        <v>2012</v>
      </c>
      <c r="G66" s="13">
        <v>3134.26</v>
      </c>
      <c r="H66" s="13">
        <v>2797.89</v>
      </c>
      <c r="I66" s="15">
        <v>4.74</v>
      </c>
      <c r="J66" s="14" t="s">
        <v>29</v>
      </c>
      <c r="K66" s="14" t="s">
        <v>29</v>
      </c>
      <c r="L66" s="14" t="s">
        <v>29</v>
      </c>
      <c r="M66" s="14" t="s">
        <v>29</v>
      </c>
      <c r="N66" s="14" t="s">
        <v>29</v>
      </c>
      <c r="O66" s="14" t="s">
        <v>29</v>
      </c>
      <c r="P66" s="14" t="s">
        <v>29</v>
      </c>
      <c r="Q66" s="13">
        <v>3134.26</v>
      </c>
      <c r="R66" s="13">
        <v>2793.15</v>
      </c>
      <c r="S66" s="15">
        <v>4.74</v>
      </c>
    </row>
    <row r="67" spans="1:19" x14ac:dyDescent="0.25">
      <c r="A67" s="9">
        <v>86</v>
      </c>
      <c r="B67" s="10" t="s">
        <v>336</v>
      </c>
      <c r="C67" s="11">
        <v>650</v>
      </c>
      <c r="D67" s="10" t="s">
        <v>77</v>
      </c>
      <c r="E67" s="10" t="s">
        <v>136</v>
      </c>
      <c r="F67" s="9">
        <v>2012</v>
      </c>
      <c r="G67" s="15">
        <v>457.63</v>
      </c>
      <c r="H67" s="15">
        <v>379.01</v>
      </c>
      <c r="I67" s="15">
        <v>0.47</v>
      </c>
      <c r="J67" s="14" t="s">
        <v>29</v>
      </c>
      <c r="K67" s="14" t="s">
        <v>29</v>
      </c>
      <c r="L67" s="14" t="s">
        <v>29</v>
      </c>
      <c r="M67" s="14" t="s">
        <v>29</v>
      </c>
      <c r="N67" s="14" t="s">
        <v>29</v>
      </c>
      <c r="O67" s="14" t="s">
        <v>29</v>
      </c>
      <c r="P67" s="14" t="s">
        <v>29</v>
      </c>
      <c r="Q67" s="15">
        <v>457.63</v>
      </c>
      <c r="R67" s="15">
        <v>378.54</v>
      </c>
      <c r="S67" s="15">
        <v>0.47</v>
      </c>
    </row>
    <row r="68" spans="1:19" x14ac:dyDescent="0.25">
      <c r="A68" s="9">
        <v>88</v>
      </c>
      <c r="B68" s="10" t="s">
        <v>337</v>
      </c>
      <c r="C68" s="11">
        <v>652</v>
      </c>
      <c r="D68" s="10" t="s">
        <v>77</v>
      </c>
      <c r="E68" s="12">
        <v>250</v>
      </c>
      <c r="F68" s="9">
        <v>2012</v>
      </c>
      <c r="G68" s="13">
        <v>2481.85</v>
      </c>
      <c r="H68" s="13">
        <v>2223.33</v>
      </c>
      <c r="I68" s="15">
        <v>2.83</v>
      </c>
      <c r="J68" s="14" t="s">
        <v>29</v>
      </c>
      <c r="K68" s="14" t="s">
        <v>29</v>
      </c>
      <c r="L68" s="14" t="s">
        <v>29</v>
      </c>
      <c r="M68" s="14" t="s">
        <v>29</v>
      </c>
      <c r="N68" s="14" t="s">
        <v>29</v>
      </c>
      <c r="O68" s="14" t="s">
        <v>29</v>
      </c>
      <c r="P68" s="14" t="s">
        <v>29</v>
      </c>
      <c r="Q68" s="13">
        <v>2481.85</v>
      </c>
      <c r="R68" s="13">
        <v>2220.5</v>
      </c>
      <c r="S68" s="15">
        <v>2.83</v>
      </c>
    </row>
    <row r="69" spans="1:19" x14ac:dyDescent="0.25">
      <c r="A69" s="9">
        <v>91</v>
      </c>
      <c r="B69" s="10" t="s">
        <v>338</v>
      </c>
      <c r="C69" s="11">
        <v>655</v>
      </c>
      <c r="D69" s="10" t="s">
        <v>104</v>
      </c>
      <c r="E69" s="12">
        <v>15</v>
      </c>
      <c r="F69" s="9">
        <v>2012</v>
      </c>
      <c r="G69" s="13">
        <v>2834.09</v>
      </c>
      <c r="H69" s="13">
        <v>1100.18</v>
      </c>
      <c r="I69" s="15">
        <v>7.25</v>
      </c>
      <c r="J69" s="14" t="s">
        <v>29</v>
      </c>
      <c r="K69" s="14" t="s">
        <v>29</v>
      </c>
      <c r="L69" s="14" t="s">
        <v>29</v>
      </c>
      <c r="M69" s="14" t="s">
        <v>29</v>
      </c>
      <c r="N69" s="14" t="s">
        <v>29</v>
      </c>
      <c r="O69" s="14" t="s">
        <v>29</v>
      </c>
      <c r="P69" s="14" t="s">
        <v>29</v>
      </c>
      <c r="Q69" s="13">
        <v>2834.09</v>
      </c>
      <c r="R69" s="13">
        <v>1092.93</v>
      </c>
      <c r="S69" s="15">
        <v>7.25</v>
      </c>
    </row>
    <row r="70" spans="1:19" x14ac:dyDescent="0.25">
      <c r="A70" s="9">
        <v>93</v>
      </c>
      <c r="B70" s="10" t="s">
        <v>339</v>
      </c>
      <c r="C70" s="11">
        <v>657</v>
      </c>
      <c r="D70" s="10" t="s">
        <v>77</v>
      </c>
      <c r="E70" s="12">
        <v>292</v>
      </c>
      <c r="F70" s="9">
        <v>2012</v>
      </c>
      <c r="G70" s="15">
        <v>353.67</v>
      </c>
      <c r="H70" s="15">
        <v>313.85000000000002</v>
      </c>
      <c r="I70" s="15">
        <v>0.37</v>
      </c>
      <c r="J70" s="14" t="s">
        <v>29</v>
      </c>
      <c r="K70" s="14" t="s">
        <v>29</v>
      </c>
      <c r="L70" s="14" t="s">
        <v>29</v>
      </c>
      <c r="M70" s="14" t="s">
        <v>29</v>
      </c>
      <c r="N70" s="14" t="s">
        <v>29</v>
      </c>
      <c r="O70" s="14" t="s">
        <v>29</v>
      </c>
      <c r="P70" s="14" t="s">
        <v>29</v>
      </c>
      <c r="Q70" s="15">
        <v>353.67</v>
      </c>
      <c r="R70" s="15">
        <v>313.48</v>
      </c>
      <c r="S70" s="15">
        <v>0.37</v>
      </c>
    </row>
    <row r="71" spans="1:19" x14ac:dyDescent="0.25">
      <c r="A71" s="9">
        <v>94</v>
      </c>
      <c r="B71" s="10" t="s">
        <v>340</v>
      </c>
      <c r="C71" s="11">
        <v>658</v>
      </c>
      <c r="D71" s="10" t="s">
        <v>176</v>
      </c>
      <c r="E71" s="12">
        <v>2</v>
      </c>
      <c r="F71" s="9">
        <v>2012</v>
      </c>
      <c r="G71" s="15">
        <v>579.69000000000005</v>
      </c>
      <c r="H71" s="15">
        <v>527.4</v>
      </c>
      <c r="I71" s="15">
        <v>0.71</v>
      </c>
      <c r="J71" s="14" t="s">
        <v>29</v>
      </c>
      <c r="K71" s="14" t="s">
        <v>29</v>
      </c>
      <c r="L71" s="14" t="s">
        <v>29</v>
      </c>
      <c r="M71" s="14" t="s">
        <v>29</v>
      </c>
      <c r="N71" s="14" t="s">
        <v>29</v>
      </c>
      <c r="O71" s="14" t="s">
        <v>29</v>
      </c>
      <c r="P71" s="14" t="s">
        <v>29</v>
      </c>
      <c r="Q71" s="15">
        <v>579.69000000000005</v>
      </c>
      <c r="R71" s="15">
        <v>526.69000000000005</v>
      </c>
      <c r="S71" s="15">
        <v>0.71</v>
      </c>
    </row>
    <row r="72" spans="1:19" x14ac:dyDescent="0.25">
      <c r="A72" s="9">
        <v>96</v>
      </c>
      <c r="B72" s="10" t="s">
        <v>341</v>
      </c>
      <c r="C72" s="11">
        <v>660</v>
      </c>
      <c r="D72" s="10" t="s">
        <v>110</v>
      </c>
      <c r="E72" s="12">
        <v>36</v>
      </c>
      <c r="F72" s="9">
        <v>2012</v>
      </c>
      <c r="G72" s="15">
        <v>96.06</v>
      </c>
      <c r="H72" s="15">
        <v>86.98</v>
      </c>
      <c r="I72" s="15">
        <v>0.12</v>
      </c>
      <c r="J72" s="14" t="s">
        <v>29</v>
      </c>
      <c r="K72" s="14" t="s">
        <v>29</v>
      </c>
      <c r="L72" s="14" t="s">
        <v>29</v>
      </c>
      <c r="M72" s="14" t="s">
        <v>29</v>
      </c>
      <c r="N72" s="14" t="s">
        <v>29</v>
      </c>
      <c r="O72" s="14" t="s">
        <v>29</v>
      </c>
      <c r="P72" s="14" t="s">
        <v>29</v>
      </c>
      <c r="Q72" s="15">
        <v>96.06</v>
      </c>
      <c r="R72" s="15">
        <v>86.86</v>
      </c>
      <c r="S72" s="15">
        <v>0.12</v>
      </c>
    </row>
    <row r="73" spans="1:19" x14ac:dyDescent="0.25">
      <c r="A73" s="9">
        <v>97</v>
      </c>
      <c r="B73" s="10" t="s">
        <v>342</v>
      </c>
      <c r="C73" s="11">
        <v>661</v>
      </c>
      <c r="D73" s="10" t="s">
        <v>110</v>
      </c>
      <c r="E73" s="12">
        <v>26</v>
      </c>
      <c r="F73" s="9">
        <v>2012</v>
      </c>
      <c r="G73" s="13">
        <v>1163</v>
      </c>
      <c r="H73" s="13">
        <v>1120.48</v>
      </c>
      <c r="I73" s="15">
        <v>1.47</v>
      </c>
      <c r="J73" s="14" t="s">
        <v>29</v>
      </c>
      <c r="K73" s="14" t="s">
        <v>29</v>
      </c>
      <c r="L73" s="14" t="s">
        <v>29</v>
      </c>
      <c r="M73" s="14" t="s">
        <v>29</v>
      </c>
      <c r="N73" s="14" t="s">
        <v>29</v>
      </c>
      <c r="O73" s="14" t="s">
        <v>29</v>
      </c>
      <c r="P73" s="14" t="s">
        <v>29</v>
      </c>
      <c r="Q73" s="13">
        <v>1163</v>
      </c>
      <c r="R73" s="13">
        <v>1119.01</v>
      </c>
      <c r="S73" s="15">
        <v>1.47</v>
      </c>
    </row>
    <row r="74" spans="1:19" x14ac:dyDescent="0.25">
      <c r="A74" s="9">
        <v>99</v>
      </c>
      <c r="B74" s="10" t="s">
        <v>343</v>
      </c>
      <c r="C74" s="11">
        <v>663</v>
      </c>
      <c r="D74" s="10" t="s">
        <v>110</v>
      </c>
      <c r="E74" s="12">
        <v>42</v>
      </c>
      <c r="F74" s="9">
        <v>2012</v>
      </c>
      <c r="G74" s="13">
        <v>13181.57</v>
      </c>
      <c r="H74" s="13">
        <v>12427.09</v>
      </c>
      <c r="I74" s="15">
        <v>14.64</v>
      </c>
      <c r="J74" s="14" t="s">
        <v>29</v>
      </c>
      <c r="K74" s="14" t="s">
        <v>29</v>
      </c>
      <c r="L74" s="14" t="s">
        <v>29</v>
      </c>
      <c r="M74" s="14" t="s">
        <v>29</v>
      </c>
      <c r="N74" s="14" t="s">
        <v>29</v>
      </c>
      <c r="O74" s="14" t="s">
        <v>29</v>
      </c>
      <c r="P74" s="14" t="s">
        <v>29</v>
      </c>
      <c r="Q74" s="13">
        <v>13181.57</v>
      </c>
      <c r="R74" s="13">
        <v>12412.45</v>
      </c>
      <c r="S74" s="15">
        <v>14.64</v>
      </c>
    </row>
    <row r="75" spans="1:19" x14ac:dyDescent="0.25">
      <c r="A75" s="9">
        <v>100</v>
      </c>
      <c r="B75" s="10" t="s">
        <v>344</v>
      </c>
      <c r="C75" s="11">
        <v>664</v>
      </c>
      <c r="D75" s="10" t="s">
        <v>110</v>
      </c>
      <c r="E75" s="12">
        <v>40</v>
      </c>
      <c r="F75" s="9">
        <v>2012</v>
      </c>
      <c r="G75" s="15">
        <v>983.03</v>
      </c>
      <c r="H75" s="15">
        <v>947.84</v>
      </c>
      <c r="I75" s="15">
        <v>1.17</v>
      </c>
      <c r="J75" s="14" t="s">
        <v>29</v>
      </c>
      <c r="K75" s="14" t="s">
        <v>29</v>
      </c>
      <c r="L75" s="14" t="s">
        <v>29</v>
      </c>
      <c r="M75" s="14" t="s">
        <v>29</v>
      </c>
      <c r="N75" s="14" t="s">
        <v>29</v>
      </c>
      <c r="O75" s="14" t="s">
        <v>29</v>
      </c>
      <c r="P75" s="14" t="s">
        <v>29</v>
      </c>
      <c r="Q75" s="15">
        <v>983.03</v>
      </c>
      <c r="R75" s="15">
        <v>946.67</v>
      </c>
      <c r="S75" s="15">
        <v>1.17</v>
      </c>
    </row>
    <row r="76" spans="1:19" x14ac:dyDescent="0.25">
      <c r="A76" s="9">
        <v>101</v>
      </c>
      <c r="B76" s="10" t="s">
        <v>345</v>
      </c>
      <c r="C76" s="11">
        <v>665</v>
      </c>
      <c r="D76" s="10" t="s">
        <v>104</v>
      </c>
      <c r="E76" s="12">
        <v>20</v>
      </c>
      <c r="F76" s="9">
        <v>2012</v>
      </c>
      <c r="G76" s="15">
        <v>338.62</v>
      </c>
      <c r="H76" s="15">
        <v>305.82</v>
      </c>
      <c r="I76" s="15">
        <v>0.37</v>
      </c>
      <c r="J76" s="14" t="s">
        <v>29</v>
      </c>
      <c r="K76" s="14" t="s">
        <v>29</v>
      </c>
      <c r="L76" s="14" t="s">
        <v>29</v>
      </c>
      <c r="M76" s="14" t="s">
        <v>29</v>
      </c>
      <c r="N76" s="14" t="s">
        <v>29</v>
      </c>
      <c r="O76" s="14" t="s">
        <v>29</v>
      </c>
      <c r="P76" s="14" t="s">
        <v>29</v>
      </c>
      <c r="Q76" s="15">
        <v>338.62</v>
      </c>
      <c r="R76" s="15">
        <v>305.45</v>
      </c>
      <c r="S76" s="15">
        <v>0.37</v>
      </c>
    </row>
    <row r="77" spans="1:19" x14ac:dyDescent="0.25">
      <c r="A77" s="9">
        <v>102</v>
      </c>
      <c r="B77" s="10" t="s">
        <v>346</v>
      </c>
      <c r="C77" s="11">
        <v>666</v>
      </c>
      <c r="D77" s="10" t="s">
        <v>107</v>
      </c>
      <c r="E77" s="10" t="s">
        <v>108</v>
      </c>
      <c r="F77" s="9">
        <v>2012</v>
      </c>
      <c r="G77" s="15">
        <v>154.03</v>
      </c>
      <c r="H77" s="15">
        <v>139.01</v>
      </c>
      <c r="I77" s="15">
        <v>0.2</v>
      </c>
      <c r="J77" s="14" t="s">
        <v>29</v>
      </c>
      <c r="K77" s="14" t="s">
        <v>29</v>
      </c>
      <c r="L77" s="14" t="s">
        <v>29</v>
      </c>
      <c r="M77" s="14" t="s">
        <v>29</v>
      </c>
      <c r="N77" s="14" t="s">
        <v>29</v>
      </c>
      <c r="O77" s="14" t="s">
        <v>29</v>
      </c>
      <c r="P77" s="14" t="s">
        <v>29</v>
      </c>
      <c r="Q77" s="15">
        <v>154.03</v>
      </c>
      <c r="R77" s="15">
        <v>138.81</v>
      </c>
      <c r="S77" s="15">
        <v>0.2</v>
      </c>
    </row>
    <row r="78" spans="1:19" x14ac:dyDescent="0.25">
      <c r="A78" s="9">
        <v>104</v>
      </c>
      <c r="B78" s="10" t="s">
        <v>347</v>
      </c>
      <c r="C78" s="11">
        <v>668</v>
      </c>
      <c r="D78" s="10" t="s">
        <v>120</v>
      </c>
      <c r="E78" s="12">
        <v>3</v>
      </c>
      <c r="F78" s="9">
        <v>2012</v>
      </c>
      <c r="G78" s="15">
        <v>610.94000000000005</v>
      </c>
      <c r="H78" s="15">
        <v>537.24</v>
      </c>
      <c r="I78" s="15">
        <v>0.78</v>
      </c>
      <c r="J78" s="14" t="s">
        <v>29</v>
      </c>
      <c r="K78" s="14" t="s">
        <v>29</v>
      </c>
      <c r="L78" s="14" t="s">
        <v>29</v>
      </c>
      <c r="M78" s="14" t="s">
        <v>29</v>
      </c>
      <c r="N78" s="14" t="s">
        <v>29</v>
      </c>
      <c r="O78" s="14" t="s">
        <v>29</v>
      </c>
      <c r="P78" s="14" t="s">
        <v>29</v>
      </c>
      <c r="Q78" s="15">
        <v>610.94000000000005</v>
      </c>
      <c r="R78" s="15">
        <v>536.46</v>
      </c>
      <c r="S78" s="15">
        <v>0.78</v>
      </c>
    </row>
    <row r="79" spans="1:19" x14ac:dyDescent="0.25">
      <c r="A79" s="9">
        <v>106</v>
      </c>
      <c r="B79" s="10" t="s">
        <v>348</v>
      </c>
      <c r="C79" s="11">
        <v>670</v>
      </c>
      <c r="D79" s="10" t="s">
        <v>73</v>
      </c>
      <c r="E79" s="12">
        <v>80</v>
      </c>
      <c r="F79" s="9">
        <v>2012</v>
      </c>
      <c r="G79" s="13">
        <v>2455.02</v>
      </c>
      <c r="H79" s="13">
        <v>1810.4</v>
      </c>
      <c r="I79" s="15">
        <v>7.31</v>
      </c>
      <c r="J79" s="14" t="s">
        <v>29</v>
      </c>
      <c r="K79" s="14" t="s">
        <v>29</v>
      </c>
      <c r="L79" s="14" t="s">
        <v>29</v>
      </c>
      <c r="M79" s="14" t="s">
        <v>29</v>
      </c>
      <c r="N79" s="14" t="s">
        <v>29</v>
      </c>
      <c r="O79" s="14" t="s">
        <v>29</v>
      </c>
      <c r="P79" s="14" t="s">
        <v>29</v>
      </c>
      <c r="Q79" s="13">
        <v>2455.02</v>
      </c>
      <c r="R79" s="13">
        <v>1803.09</v>
      </c>
      <c r="S79" s="15">
        <v>7.31</v>
      </c>
    </row>
    <row r="80" spans="1:19" x14ac:dyDescent="0.25">
      <c r="A80" s="9">
        <v>107</v>
      </c>
      <c r="B80" s="10" t="s">
        <v>349</v>
      </c>
      <c r="C80" s="11">
        <v>671</v>
      </c>
      <c r="D80" s="10" t="s">
        <v>176</v>
      </c>
      <c r="E80" s="12">
        <v>14</v>
      </c>
      <c r="F80" s="9">
        <v>1967</v>
      </c>
      <c r="G80" s="15">
        <v>266.11</v>
      </c>
      <c r="H80" s="15">
        <v>234.97</v>
      </c>
      <c r="I80" s="15">
        <v>0.4</v>
      </c>
      <c r="J80" s="14" t="s">
        <v>29</v>
      </c>
      <c r="K80" s="14" t="s">
        <v>29</v>
      </c>
      <c r="L80" s="14" t="s">
        <v>29</v>
      </c>
      <c r="M80" s="14" t="s">
        <v>29</v>
      </c>
      <c r="N80" s="14" t="s">
        <v>29</v>
      </c>
      <c r="O80" s="14" t="s">
        <v>29</v>
      </c>
      <c r="P80" s="14" t="s">
        <v>29</v>
      </c>
      <c r="Q80" s="15">
        <v>266.11</v>
      </c>
      <c r="R80" s="15">
        <v>234.57</v>
      </c>
      <c r="S80" s="15">
        <v>0.4</v>
      </c>
    </row>
    <row r="81" spans="1:19" x14ac:dyDescent="0.25">
      <c r="A81" s="9">
        <v>109</v>
      </c>
      <c r="B81" s="10" t="s">
        <v>350</v>
      </c>
      <c r="C81" s="11">
        <v>675</v>
      </c>
      <c r="D81" s="10" t="s">
        <v>240</v>
      </c>
      <c r="E81" s="12">
        <v>2</v>
      </c>
      <c r="F81" s="9">
        <v>2012</v>
      </c>
      <c r="G81" s="13">
        <v>1157.3499999999999</v>
      </c>
      <c r="H81" s="15">
        <v>703.73</v>
      </c>
      <c r="I81" s="15">
        <v>4.8</v>
      </c>
      <c r="J81" s="14" t="s">
        <v>29</v>
      </c>
      <c r="K81" s="14" t="s">
        <v>29</v>
      </c>
      <c r="L81" s="14" t="s">
        <v>29</v>
      </c>
      <c r="M81" s="14" t="s">
        <v>29</v>
      </c>
      <c r="N81" s="14" t="s">
        <v>29</v>
      </c>
      <c r="O81" s="14" t="s">
        <v>29</v>
      </c>
      <c r="P81" s="14" t="s">
        <v>29</v>
      </c>
      <c r="Q81" s="13">
        <v>1157.3499999999999</v>
      </c>
      <c r="R81" s="15">
        <v>698.93</v>
      </c>
      <c r="S81" s="15">
        <v>4.8</v>
      </c>
    </row>
    <row r="82" spans="1:19" x14ac:dyDescent="0.25">
      <c r="A82" s="9">
        <v>115</v>
      </c>
      <c r="B82" s="10" t="s">
        <v>351</v>
      </c>
      <c r="C82" s="11">
        <v>682</v>
      </c>
      <c r="D82" s="10" t="s">
        <v>39</v>
      </c>
      <c r="E82" s="12">
        <v>44</v>
      </c>
      <c r="F82" s="9">
        <v>2013</v>
      </c>
      <c r="G82" s="13">
        <v>7611.41</v>
      </c>
      <c r="H82" s="13">
        <v>6115.23</v>
      </c>
      <c r="I82" s="15">
        <v>22.66</v>
      </c>
      <c r="J82" s="14" t="s">
        <v>29</v>
      </c>
      <c r="K82" s="14" t="s">
        <v>29</v>
      </c>
      <c r="L82" s="14" t="s">
        <v>29</v>
      </c>
      <c r="M82" s="14" t="s">
        <v>29</v>
      </c>
      <c r="N82" s="14" t="s">
        <v>29</v>
      </c>
      <c r="O82" s="14" t="s">
        <v>29</v>
      </c>
      <c r="P82" s="14" t="s">
        <v>29</v>
      </c>
      <c r="Q82" s="13">
        <v>7611.41</v>
      </c>
      <c r="R82" s="13">
        <v>6092.57</v>
      </c>
      <c r="S82" s="15">
        <v>22.66</v>
      </c>
    </row>
    <row r="83" spans="1:19" x14ac:dyDescent="0.25">
      <c r="A83" s="9">
        <v>117</v>
      </c>
      <c r="B83" s="10" t="s">
        <v>352</v>
      </c>
      <c r="C83" s="11">
        <v>685</v>
      </c>
      <c r="D83" s="10" t="s">
        <v>185</v>
      </c>
      <c r="E83" s="12">
        <v>3</v>
      </c>
      <c r="F83" s="9">
        <v>2013</v>
      </c>
      <c r="G83" s="13">
        <v>15969.51</v>
      </c>
      <c r="H83" s="13">
        <v>11771.74</v>
      </c>
      <c r="I83" s="15">
        <v>66.540000000000006</v>
      </c>
      <c r="J83" s="14" t="s">
        <v>29</v>
      </c>
      <c r="K83" s="14" t="s">
        <v>29</v>
      </c>
      <c r="L83" s="14" t="s">
        <v>29</v>
      </c>
      <c r="M83" s="14" t="s">
        <v>29</v>
      </c>
      <c r="N83" s="14" t="s">
        <v>29</v>
      </c>
      <c r="O83" s="14" t="s">
        <v>29</v>
      </c>
      <c r="P83" s="14" t="s">
        <v>29</v>
      </c>
      <c r="Q83" s="13">
        <v>15969.51</v>
      </c>
      <c r="R83" s="13">
        <v>11705.2</v>
      </c>
      <c r="S83" s="15">
        <v>66.540000000000006</v>
      </c>
    </row>
    <row r="84" spans="1:19" x14ac:dyDescent="0.25">
      <c r="A84" s="9">
        <v>119</v>
      </c>
      <c r="B84" s="10" t="s">
        <v>353</v>
      </c>
      <c r="C84" s="11">
        <v>688</v>
      </c>
      <c r="D84" s="10" t="s">
        <v>266</v>
      </c>
      <c r="E84" s="12">
        <v>9</v>
      </c>
      <c r="F84" s="9">
        <v>2013</v>
      </c>
      <c r="G84" s="13">
        <v>45047.47</v>
      </c>
      <c r="H84" s="13">
        <v>33778.910000000003</v>
      </c>
      <c r="I84" s="15">
        <v>183.35</v>
      </c>
      <c r="J84" s="14" t="s">
        <v>29</v>
      </c>
      <c r="K84" s="14" t="s">
        <v>29</v>
      </c>
      <c r="L84" s="14" t="s">
        <v>29</v>
      </c>
      <c r="M84" s="14" t="s">
        <v>29</v>
      </c>
      <c r="N84" s="14" t="s">
        <v>29</v>
      </c>
      <c r="O84" s="14" t="s">
        <v>29</v>
      </c>
      <c r="P84" s="14" t="s">
        <v>29</v>
      </c>
      <c r="Q84" s="13">
        <v>45047.47</v>
      </c>
      <c r="R84" s="13">
        <v>33595.56</v>
      </c>
      <c r="S84" s="15">
        <v>183.35</v>
      </c>
    </row>
    <row r="85" spans="1:19" x14ac:dyDescent="0.25">
      <c r="A85" s="9">
        <v>120</v>
      </c>
      <c r="B85" s="10" t="s">
        <v>354</v>
      </c>
      <c r="C85" s="11">
        <v>690</v>
      </c>
      <c r="D85" s="10" t="s">
        <v>77</v>
      </c>
      <c r="E85" s="12">
        <v>1</v>
      </c>
      <c r="F85" s="9">
        <v>2013</v>
      </c>
      <c r="G85" s="13">
        <v>3701.92</v>
      </c>
      <c r="H85" s="13">
        <v>2928.31</v>
      </c>
      <c r="I85" s="15">
        <v>11.02</v>
      </c>
      <c r="J85" s="14" t="s">
        <v>29</v>
      </c>
      <c r="K85" s="14" t="s">
        <v>29</v>
      </c>
      <c r="L85" s="14" t="s">
        <v>29</v>
      </c>
      <c r="M85" s="14" t="s">
        <v>29</v>
      </c>
      <c r="N85" s="14" t="s">
        <v>29</v>
      </c>
      <c r="O85" s="14" t="s">
        <v>29</v>
      </c>
      <c r="P85" s="14" t="s">
        <v>29</v>
      </c>
      <c r="Q85" s="13">
        <v>3701.92</v>
      </c>
      <c r="R85" s="13">
        <v>2917.29</v>
      </c>
      <c r="S85" s="15">
        <v>11.02</v>
      </c>
    </row>
    <row r="86" spans="1:19" s="30" customFormat="1" x14ac:dyDescent="0.25">
      <c r="A86" s="25">
        <v>121</v>
      </c>
      <c r="B86" s="26" t="s">
        <v>355</v>
      </c>
      <c r="C86" s="27">
        <v>691</v>
      </c>
      <c r="D86" s="26" t="s">
        <v>39</v>
      </c>
      <c r="E86" s="28">
        <v>15</v>
      </c>
      <c r="F86" s="25">
        <v>2013</v>
      </c>
      <c r="G86" s="31">
        <v>40693.440000000002</v>
      </c>
      <c r="H86" s="31">
        <v>33473.9</v>
      </c>
      <c r="I86" s="24">
        <v>121.12</v>
      </c>
      <c r="J86" s="29" t="s">
        <v>29</v>
      </c>
      <c r="K86" s="29" t="s">
        <v>29</v>
      </c>
      <c r="L86" s="29" t="s">
        <v>29</v>
      </c>
      <c r="M86" s="29" t="s">
        <v>29</v>
      </c>
      <c r="N86" s="29" t="s">
        <v>29</v>
      </c>
      <c r="O86" s="29" t="s">
        <v>29</v>
      </c>
      <c r="P86" s="29" t="s">
        <v>29</v>
      </c>
      <c r="Q86" s="31">
        <v>40693.440000000002</v>
      </c>
      <c r="R86" s="31">
        <v>33352.78</v>
      </c>
      <c r="S86" s="24">
        <v>121.12</v>
      </c>
    </row>
    <row r="87" spans="1:19" x14ac:dyDescent="0.25">
      <c r="A87" s="9">
        <v>125</v>
      </c>
      <c r="B87" s="10" t="s">
        <v>356</v>
      </c>
      <c r="C87" s="11">
        <v>695</v>
      </c>
      <c r="D87" s="10" t="s">
        <v>120</v>
      </c>
      <c r="E87" s="10" t="s">
        <v>147</v>
      </c>
      <c r="F87" s="9">
        <v>2013</v>
      </c>
      <c r="G87" s="15">
        <v>567.87</v>
      </c>
      <c r="H87" s="15">
        <v>512.34</v>
      </c>
      <c r="I87" s="15">
        <v>0.68</v>
      </c>
      <c r="J87" s="14" t="s">
        <v>29</v>
      </c>
      <c r="K87" s="14" t="s">
        <v>29</v>
      </c>
      <c r="L87" s="14" t="s">
        <v>29</v>
      </c>
      <c r="M87" s="14" t="s">
        <v>29</v>
      </c>
      <c r="N87" s="14" t="s">
        <v>29</v>
      </c>
      <c r="O87" s="14" t="s">
        <v>29</v>
      </c>
      <c r="P87" s="14" t="s">
        <v>29</v>
      </c>
      <c r="Q87" s="15">
        <v>567.87</v>
      </c>
      <c r="R87" s="15">
        <v>511.66</v>
      </c>
      <c r="S87" s="15">
        <v>0.68</v>
      </c>
    </row>
    <row r="88" spans="1:19" x14ac:dyDescent="0.25">
      <c r="A88" s="9">
        <v>133</v>
      </c>
      <c r="B88" s="10" t="s">
        <v>357</v>
      </c>
      <c r="C88" s="11">
        <v>703</v>
      </c>
      <c r="D88" s="10" t="s">
        <v>138</v>
      </c>
      <c r="E88" s="10" t="s">
        <v>108</v>
      </c>
      <c r="F88" s="9">
        <v>2013</v>
      </c>
      <c r="G88" s="15">
        <v>570.52</v>
      </c>
      <c r="H88" s="15">
        <v>415.41</v>
      </c>
      <c r="I88" s="15">
        <v>2.38</v>
      </c>
      <c r="J88" s="14" t="s">
        <v>29</v>
      </c>
      <c r="K88" s="14" t="s">
        <v>29</v>
      </c>
      <c r="L88" s="14" t="s">
        <v>29</v>
      </c>
      <c r="M88" s="14" t="s">
        <v>29</v>
      </c>
      <c r="N88" s="14" t="s">
        <v>29</v>
      </c>
      <c r="O88" s="14" t="s">
        <v>29</v>
      </c>
      <c r="P88" s="14" t="s">
        <v>29</v>
      </c>
      <c r="Q88" s="15">
        <v>570.52</v>
      </c>
      <c r="R88" s="15">
        <v>413.03</v>
      </c>
      <c r="S88" s="15">
        <v>2.38</v>
      </c>
    </row>
    <row r="89" spans="1:19" x14ac:dyDescent="0.25">
      <c r="A89" s="9">
        <v>137</v>
      </c>
      <c r="B89" s="10" t="s">
        <v>358</v>
      </c>
      <c r="C89" s="11">
        <v>708</v>
      </c>
      <c r="D89" s="10" t="s">
        <v>35</v>
      </c>
      <c r="E89" s="12">
        <v>8</v>
      </c>
      <c r="F89" s="9">
        <v>2013</v>
      </c>
      <c r="G89" s="13">
        <v>3531.3</v>
      </c>
      <c r="H89" s="13">
        <v>3284.34</v>
      </c>
      <c r="I89" s="15">
        <v>4.1399999999999997</v>
      </c>
      <c r="J89" s="14" t="s">
        <v>29</v>
      </c>
      <c r="K89" s="14" t="s">
        <v>29</v>
      </c>
      <c r="L89" s="14" t="s">
        <v>29</v>
      </c>
      <c r="M89" s="14" t="s">
        <v>29</v>
      </c>
      <c r="N89" s="14" t="s">
        <v>29</v>
      </c>
      <c r="O89" s="14" t="s">
        <v>29</v>
      </c>
      <c r="P89" s="14" t="s">
        <v>29</v>
      </c>
      <c r="Q89" s="13">
        <v>3531.3</v>
      </c>
      <c r="R89" s="13">
        <v>3280.2</v>
      </c>
      <c r="S89" s="15">
        <v>4.1399999999999997</v>
      </c>
    </row>
    <row r="90" spans="1:19" x14ac:dyDescent="0.25">
      <c r="A90" s="9">
        <v>139</v>
      </c>
      <c r="B90" s="10" t="s">
        <v>359</v>
      </c>
      <c r="C90" s="11">
        <v>710</v>
      </c>
      <c r="D90" s="10" t="s">
        <v>77</v>
      </c>
      <c r="E90" s="12">
        <v>23</v>
      </c>
      <c r="F90" s="9">
        <v>1939</v>
      </c>
      <c r="G90" s="13">
        <v>11386.79</v>
      </c>
      <c r="H90" s="13">
        <v>9770.65</v>
      </c>
      <c r="I90" s="15">
        <v>33.89</v>
      </c>
      <c r="J90" s="14" t="s">
        <v>29</v>
      </c>
      <c r="K90" s="14" t="s">
        <v>29</v>
      </c>
      <c r="L90" s="14" t="s">
        <v>29</v>
      </c>
      <c r="M90" s="14" t="s">
        <v>29</v>
      </c>
      <c r="N90" s="14" t="s">
        <v>29</v>
      </c>
      <c r="O90" s="14" t="s">
        <v>29</v>
      </c>
      <c r="P90" s="14" t="s">
        <v>29</v>
      </c>
      <c r="Q90" s="13">
        <v>11386.79</v>
      </c>
      <c r="R90" s="13">
        <v>9736.76</v>
      </c>
      <c r="S90" s="15">
        <v>33.89</v>
      </c>
    </row>
    <row r="91" spans="1:19" x14ac:dyDescent="0.25">
      <c r="A91" s="9">
        <v>141</v>
      </c>
      <c r="B91" s="10" t="s">
        <v>360</v>
      </c>
      <c r="C91" s="11">
        <v>713</v>
      </c>
      <c r="D91" s="10" t="s">
        <v>195</v>
      </c>
      <c r="E91" s="12">
        <v>26</v>
      </c>
      <c r="F91" s="9">
        <v>2014</v>
      </c>
      <c r="G91" s="13">
        <v>1489.46</v>
      </c>
      <c r="H91" s="13">
        <v>1365.3</v>
      </c>
      <c r="I91" s="15">
        <v>1.59</v>
      </c>
      <c r="J91" s="14" t="s">
        <v>29</v>
      </c>
      <c r="K91" s="14" t="s">
        <v>29</v>
      </c>
      <c r="L91" s="14" t="s">
        <v>29</v>
      </c>
      <c r="M91" s="14" t="s">
        <v>29</v>
      </c>
      <c r="N91" s="14" t="s">
        <v>29</v>
      </c>
      <c r="O91" s="14" t="s">
        <v>29</v>
      </c>
      <c r="P91" s="14" t="s">
        <v>29</v>
      </c>
      <c r="Q91" s="13">
        <v>1489.46</v>
      </c>
      <c r="R91" s="13">
        <v>1363.71</v>
      </c>
      <c r="S91" s="15">
        <v>1.59</v>
      </c>
    </row>
    <row r="92" spans="1:19" x14ac:dyDescent="0.25">
      <c r="A92" s="9">
        <v>144</v>
      </c>
      <c r="B92" s="10" t="s">
        <v>361</v>
      </c>
      <c r="C92" s="11">
        <v>716</v>
      </c>
      <c r="D92" s="10" t="s">
        <v>234</v>
      </c>
      <c r="E92" s="12">
        <v>2</v>
      </c>
      <c r="F92" s="9">
        <v>2014</v>
      </c>
      <c r="G92" s="15">
        <v>840.03</v>
      </c>
      <c r="H92" s="15">
        <v>796.65</v>
      </c>
      <c r="I92" s="15">
        <v>0.91</v>
      </c>
      <c r="J92" s="14" t="s">
        <v>29</v>
      </c>
      <c r="K92" s="14" t="s">
        <v>29</v>
      </c>
      <c r="L92" s="14" t="s">
        <v>29</v>
      </c>
      <c r="M92" s="14" t="s">
        <v>29</v>
      </c>
      <c r="N92" s="14" t="s">
        <v>29</v>
      </c>
      <c r="O92" s="14" t="s">
        <v>29</v>
      </c>
      <c r="P92" s="14" t="s">
        <v>29</v>
      </c>
      <c r="Q92" s="15">
        <v>840.03</v>
      </c>
      <c r="R92" s="15">
        <v>795.74</v>
      </c>
      <c r="S92" s="15">
        <v>0.91</v>
      </c>
    </row>
    <row r="93" spans="1:19" x14ac:dyDescent="0.25">
      <c r="A93" s="9">
        <v>147</v>
      </c>
      <c r="B93" s="10" t="s">
        <v>362</v>
      </c>
      <c r="C93" s="11">
        <v>725</v>
      </c>
      <c r="D93" s="10" t="s">
        <v>83</v>
      </c>
      <c r="E93" s="10" t="s">
        <v>84</v>
      </c>
      <c r="F93" s="9">
        <v>2015</v>
      </c>
      <c r="G93" s="13">
        <v>122982.45</v>
      </c>
      <c r="H93" s="13">
        <v>113940.72</v>
      </c>
      <c r="I93" s="15">
        <v>268.33</v>
      </c>
      <c r="J93" s="14" t="s">
        <v>29</v>
      </c>
      <c r="K93" s="14" t="s">
        <v>29</v>
      </c>
      <c r="L93" s="14" t="s">
        <v>29</v>
      </c>
      <c r="M93" s="14" t="s">
        <v>29</v>
      </c>
      <c r="N93" s="14" t="s">
        <v>29</v>
      </c>
      <c r="O93" s="14" t="s">
        <v>29</v>
      </c>
      <c r="P93" s="14" t="s">
        <v>29</v>
      </c>
      <c r="Q93" s="13">
        <v>122982.45</v>
      </c>
      <c r="R93" s="13">
        <v>113672.39</v>
      </c>
      <c r="S93" s="15">
        <v>268.33</v>
      </c>
    </row>
    <row r="94" spans="1:19" x14ac:dyDescent="0.25">
      <c r="A94" s="9">
        <v>149</v>
      </c>
      <c r="B94" s="10" t="s">
        <v>363</v>
      </c>
      <c r="C94" s="11">
        <v>727</v>
      </c>
      <c r="D94" s="10" t="s">
        <v>252</v>
      </c>
      <c r="E94" s="12">
        <v>68</v>
      </c>
      <c r="F94" s="9">
        <v>2015</v>
      </c>
      <c r="G94" s="13">
        <v>17713.48</v>
      </c>
      <c r="H94" s="13">
        <v>14518.33</v>
      </c>
      <c r="I94" s="15">
        <v>72.39</v>
      </c>
      <c r="J94" s="14" t="s">
        <v>29</v>
      </c>
      <c r="K94" s="14" t="s">
        <v>29</v>
      </c>
      <c r="L94" s="14" t="s">
        <v>29</v>
      </c>
      <c r="M94" s="14" t="s">
        <v>29</v>
      </c>
      <c r="N94" s="14" t="s">
        <v>29</v>
      </c>
      <c r="O94" s="14" t="s">
        <v>29</v>
      </c>
      <c r="P94" s="14" t="s">
        <v>29</v>
      </c>
      <c r="Q94" s="13">
        <v>17713.48</v>
      </c>
      <c r="R94" s="13">
        <v>14445.94</v>
      </c>
      <c r="S94" s="15">
        <v>72.39</v>
      </c>
    </row>
    <row r="95" spans="1:19" x14ac:dyDescent="0.25">
      <c r="A95" s="9">
        <v>151</v>
      </c>
      <c r="B95" s="10" t="s">
        <v>364</v>
      </c>
      <c r="C95" s="11">
        <v>735</v>
      </c>
      <c r="D95" s="10" t="s">
        <v>238</v>
      </c>
      <c r="E95" s="12">
        <v>85</v>
      </c>
      <c r="F95" s="9">
        <v>2015</v>
      </c>
      <c r="G95" s="15">
        <v>185.2</v>
      </c>
      <c r="H95" s="15">
        <v>145.27000000000001</v>
      </c>
      <c r="I95" s="15">
        <v>0.2</v>
      </c>
      <c r="J95" s="14" t="s">
        <v>29</v>
      </c>
      <c r="K95" s="14" t="s">
        <v>29</v>
      </c>
      <c r="L95" s="14" t="s">
        <v>29</v>
      </c>
      <c r="M95" s="14" t="s">
        <v>29</v>
      </c>
      <c r="N95" s="14" t="s">
        <v>29</v>
      </c>
      <c r="O95" s="14" t="s">
        <v>29</v>
      </c>
      <c r="P95" s="14" t="s">
        <v>29</v>
      </c>
      <c r="Q95" s="15">
        <v>185.2</v>
      </c>
      <c r="R95" s="15">
        <v>145.07</v>
      </c>
      <c r="S95" s="15">
        <v>0.2</v>
      </c>
    </row>
    <row r="96" spans="1:19" s="21" customFormat="1" ht="12" x14ac:dyDescent="0.2">
      <c r="A96" s="16"/>
      <c r="B96" s="17"/>
      <c r="C96" s="17"/>
      <c r="D96" s="17"/>
      <c r="E96" s="17"/>
      <c r="F96" s="18" t="s">
        <v>275</v>
      </c>
      <c r="G96" s="19">
        <v>443345.02</v>
      </c>
      <c r="H96" s="19">
        <v>380152.61</v>
      </c>
      <c r="I96" s="19">
        <v>1022.83</v>
      </c>
      <c r="J96" s="20" t="s">
        <v>29</v>
      </c>
      <c r="K96" s="20" t="s">
        <v>29</v>
      </c>
      <c r="L96" s="20" t="s">
        <v>29</v>
      </c>
      <c r="M96" s="20" t="s">
        <v>29</v>
      </c>
      <c r="N96" s="20" t="s">
        <v>29</v>
      </c>
      <c r="O96" s="20" t="s">
        <v>29</v>
      </c>
      <c r="P96" s="20" t="s">
        <v>29</v>
      </c>
      <c r="Q96" s="19">
        <v>443345.02</v>
      </c>
      <c r="R96" s="19">
        <v>379129.78</v>
      </c>
      <c r="S96" s="19">
        <v>1022.83</v>
      </c>
    </row>
    <row r="98" spans="17:20" x14ac:dyDescent="0.25">
      <c r="Q98" s="32">
        <f>SUM(Q96-Q86)</f>
        <v>402651.58</v>
      </c>
      <c r="R98" s="32">
        <f t="shared" ref="R98:T98" si="0">SUM(R96-R86)</f>
        <v>345777</v>
      </c>
      <c r="S98" s="32">
        <f t="shared" si="0"/>
        <v>901.71</v>
      </c>
      <c r="T98" s="32">
        <f t="shared" si="0"/>
        <v>0</v>
      </c>
    </row>
    <row r="99" spans="17:20" x14ac:dyDescent="0.25">
      <c r="Q99" s="32">
        <f>SUM(Q86+Q56)</f>
        <v>41450.639999999999</v>
      </c>
      <c r="R99" s="32">
        <f>SUM(R86+R56)</f>
        <v>33958.21</v>
      </c>
      <c r="S99" s="32">
        <f>SUM(S86+S56)</f>
        <v>121.86</v>
      </c>
    </row>
    <row r="100" spans="17:20" x14ac:dyDescent="0.25">
      <c r="Q100" s="32" t="e">
        <f>SUM(Q96-Q86-житло!#REF!)</f>
        <v>#REF!</v>
      </c>
      <c r="R100" s="1" t="e">
        <f>SUM(Q100/2)</f>
        <v>#REF!</v>
      </c>
    </row>
    <row r="101" spans="17:20" x14ac:dyDescent="0.25">
      <c r="Q101" s="32">
        <f>SUM(Q96-Q99)</f>
        <v>401894.38</v>
      </c>
    </row>
    <row r="103" spans="17:20" x14ac:dyDescent="0.25">
      <c r="Q103" s="32">
        <f>SUM(Q96-Q86)</f>
        <v>402651.58</v>
      </c>
      <c r="R103" s="32">
        <f t="shared" ref="R103:S103" si="1">SUM(R96-R86)</f>
        <v>345777</v>
      </c>
      <c r="S103" s="32">
        <f t="shared" si="1"/>
        <v>901.71</v>
      </c>
    </row>
    <row r="105" spans="17:20" x14ac:dyDescent="0.25">
      <c r="Q105" s="426">
        <f>SUM(Q7:Q95)</f>
        <v>443345.02000000008</v>
      </c>
      <c r="R105" s="426">
        <f t="shared" ref="R105:T105" si="2">SUM(R7:R95)</f>
        <v>379129.78000000009</v>
      </c>
      <c r="S105" s="426">
        <f t="shared" si="2"/>
        <v>1022.83</v>
      </c>
      <c r="T105" s="426">
        <f t="shared" si="2"/>
        <v>0</v>
      </c>
    </row>
    <row r="106" spans="17:20" x14ac:dyDescent="0.25">
      <c r="Q106" s="426">
        <f>SUM(Q105-Q86)</f>
        <v>402651.58000000007</v>
      </c>
    </row>
  </sheetData>
  <mergeCells count="5">
    <mergeCell ref="A1:H1"/>
    <mergeCell ref="E2:F2"/>
    <mergeCell ref="D3:F3"/>
    <mergeCell ref="D5:E5"/>
    <mergeCell ref="J5:L5"/>
  </mergeCells>
  <pageMargins left="0.7" right="1.0416666666666666E-2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22"/>
  <sheetViews>
    <sheetView tabSelected="1" showWhiteSpace="0" topLeftCell="A7" workbookViewId="0">
      <selection activeCell="T4" sqref="T4"/>
    </sheetView>
  </sheetViews>
  <sheetFormatPr defaultRowHeight="14.25" customHeight="1" x14ac:dyDescent="0.25"/>
  <cols>
    <col min="1" max="1" width="4.28515625" style="1" bestFit="1" customWidth="1"/>
    <col min="2" max="2" width="7.85546875" style="1" hidden="1" customWidth="1"/>
    <col min="3" max="3" width="10" style="1" hidden="1" customWidth="1"/>
    <col min="4" max="4" width="30.42578125" style="1" customWidth="1"/>
    <col min="5" max="5" width="5.42578125" style="1" customWidth="1"/>
    <col min="6" max="6" width="9.85546875" style="204" customWidth="1"/>
    <col min="7" max="7" width="8.42578125" style="1" customWidth="1"/>
    <col min="8" max="8" width="16.85546875" hidden="1" customWidth="1"/>
    <col min="9" max="9" width="18.85546875" hidden="1" customWidth="1"/>
    <col min="10" max="11" width="9" hidden="1" customWidth="1"/>
    <col min="12" max="12" width="10.85546875" hidden="1" customWidth="1"/>
    <col min="13" max="13" width="12.42578125" hidden="1" customWidth="1"/>
    <col min="14" max="15" width="14.28515625" hidden="1" customWidth="1"/>
    <col min="16" max="16" width="7.28515625" hidden="1" customWidth="1"/>
    <col min="17" max="17" width="11.5703125" hidden="1" customWidth="1"/>
    <col min="18" max="18" width="14.42578125" style="218" customWidth="1"/>
    <col min="19" max="19" width="18.85546875" style="218" hidden="1" customWidth="1"/>
    <col min="20" max="20" width="13.42578125" style="439" customWidth="1"/>
    <col min="21" max="21" width="9" style="439" hidden="1" customWidth="1"/>
    <col min="22" max="22" width="14.42578125" style="439" customWidth="1"/>
    <col min="23" max="23" width="12.42578125" style="218" hidden="1" customWidth="1"/>
    <col min="24" max="24" width="25.28515625" style="218" hidden="1" customWidth="1"/>
    <col min="25" max="25" width="13.28515625" style="218" hidden="1" customWidth="1"/>
    <col min="26" max="26" width="12.42578125" style="218" hidden="1" customWidth="1"/>
    <col min="27" max="28" width="4.5703125" hidden="1" customWidth="1"/>
    <col min="29" max="29" width="5.5703125" hidden="1" customWidth="1"/>
    <col min="31" max="31" width="11.42578125" bestFit="1" customWidth="1"/>
    <col min="32" max="32" width="12.140625" customWidth="1"/>
    <col min="33" max="33" width="12.42578125" customWidth="1"/>
    <col min="34" max="34" width="13.5703125" customWidth="1"/>
    <col min="35" max="35" width="11.42578125" bestFit="1" customWidth="1"/>
  </cols>
  <sheetData>
    <row r="1" spans="1:29" ht="14.25" customHeight="1" x14ac:dyDescent="0.25">
      <c r="A1"/>
      <c r="B1"/>
      <c r="C1"/>
      <c r="D1"/>
      <c r="E1"/>
      <c r="T1" s="383" t="s">
        <v>609</v>
      </c>
      <c r="X1" s="383" t="s">
        <v>609</v>
      </c>
    </row>
    <row r="2" spans="1:29" ht="14.25" customHeight="1" x14ac:dyDescent="0.25">
      <c r="A2" s="2"/>
      <c r="B2" s="199"/>
      <c r="C2" s="2"/>
      <c r="D2" s="2"/>
      <c r="E2" s="505"/>
      <c r="F2" s="505"/>
      <c r="T2" s="383" t="s">
        <v>610</v>
      </c>
      <c r="X2" s="383" t="s">
        <v>610</v>
      </c>
    </row>
    <row r="3" spans="1:29" ht="14.25" customHeight="1" x14ac:dyDescent="0.25">
      <c r="D3" s="504"/>
      <c r="E3" s="504"/>
      <c r="F3" s="504"/>
      <c r="T3" s="383" t="s">
        <v>611</v>
      </c>
      <c r="X3" s="383" t="s">
        <v>611</v>
      </c>
    </row>
    <row r="4" spans="1:29" ht="14.25" customHeight="1" x14ac:dyDescent="0.25">
      <c r="N4" s="599" t="s">
        <v>365</v>
      </c>
      <c r="O4" s="599"/>
      <c r="T4" s="383" t="s">
        <v>626</v>
      </c>
      <c r="X4" s="383" t="s">
        <v>612</v>
      </c>
    </row>
    <row r="5" spans="1:29" ht="14.25" customHeight="1" x14ac:dyDescent="0.3">
      <c r="N5" s="395"/>
      <c r="O5" s="395"/>
      <c r="S5" s="394"/>
      <c r="T5" s="440"/>
      <c r="X5" s="394"/>
    </row>
    <row r="6" spans="1:29" ht="21.75" customHeight="1" x14ac:dyDescent="0.25">
      <c r="A6" s="600" t="s">
        <v>614</v>
      </c>
      <c r="B6" s="600"/>
      <c r="C6" s="600"/>
      <c r="D6" s="600"/>
      <c r="E6" s="600"/>
      <c r="F6" s="600"/>
      <c r="G6" s="600"/>
      <c r="H6" s="600"/>
      <c r="I6" s="600"/>
      <c r="J6" s="600"/>
      <c r="K6" s="600"/>
      <c r="L6" s="600"/>
      <c r="M6" s="600"/>
      <c r="N6" s="600"/>
      <c r="O6" s="600"/>
      <c r="P6" s="600"/>
      <c r="Q6" s="600"/>
      <c r="R6" s="600"/>
      <c r="S6" s="600"/>
      <c r="T6" s="600"/>
      <c r="U6" s="600"/>
      <c r="V6" s="600"/>
      <c r="W6" s="438"/>
      <c r="X6"/>
      <c r="Y6"/>
      <c r="Z6"/>
    </row>
    <row r="7" spans="1:29" ht="14.25" customHeight="1" x14ac:dyDescent="0.25">
      <c r="A7" s="600" t="s">
        <v>613</v>
      </c>
      <c r="B7" s="600"/>
      <c r="C7" s="600"/>
      <c r="D7" s="600"/>
      <c r="E7" s="600"/>
      <c r="F7" s="600"/>
      <c r="G7" s="600"/>
      <c r="H7" s="600"/>
      <c r="I7" s="600"/>
      <c r="J7" s="600"/>
      <c r="K7" s="600"/>
      <c r="L7" s="600"/>
      <c r="M7" s="600"/>
      <c r="N7" s="600"/>
      <c r="O7" s="600"/>
      <c r="P7" s="600"/>
      <c r="Q7" s="600"/>
      <c r="R7" s="600"/>
      <c r="S7" s="600"/>
      <c r="T7" s="600"/>
      <c r="U7" s="600"/>
      <c r="V7" s="600"/>
      <c r="W7" s="506"/>
      <c r="X7"/>
      <c r="Y7"/>
      <c r="Z7"/>
    </row>
    <row r="8" spans="1:29" ht="14.25" customHeight="1" x14ac:dyDescent="0.25">
      <c r="A8" s="396"/>
      <c r="B8" s="396"/>
      <c r="C8" s="396"/>
      <c r="D8" s="396"/>
      <c r="E8" s="396"/>
      <c r="F8" s="396"/>
      <c r="G8" s="396"/>
      <c r="H8" s="396"/>
      <c r="I8" s="396"/>
      <c r="J8" s="396"/>
      <c r="K8" s="396"/>
      <c r="L8" s="396"/>
      <c r="M8" s="396"/>
      <c r="N8" s="396"/>
      <c r="O8" s="396"/>
      <c r="P8" s="396"/>
      <c r="Q8" s="396"/>
      <c r="R8" s="396"/>
      <c r="S8" s="396"/>
      <c r="T8" s="441"/>
      <c r="U8" s="441"/>
      <c r="V8" s="441"/>
      <c r="W8" s="396"/>
      <c r="X8" s="396"/>
      <c r="Y8" s="396"/>
      <c r="Z8" s="396"/>
    </row>
    <row r="9" spans="1:29" ht="14.25" customHeight="1" x14ac:dyDescent="0.3">
      <c r="N9" s="395"/>
      <c r="O9" s="395"/>
      <c r="S9" s="425"/>
      <c r="T9" s="442"/>
      <c r="X9" s="394"/>
    </row>
    <row r="10" spans="1:29" s="223" customFormat="1" ht="14.25" customHeight="1" x14ac:dyDescent="0.25">
      <c r="A10" s="201" t="s">
        <v>4</v>
      </c>
      <c r="B10" s="201" t="s">
        <v>5</v>
      </c>
      <c r="C10" s="200"/>
      <c r="D10" s="596" t="s">
        <v>486</v>
      </c>
      <c r="E10" s="597"/>
      <c r="F10" s="202" t="s">
        <v>468</v>
      </c>
      <c r="G10" s="200" t="s">
        <v>7</v>
      </c>
      <c r="H10" s="201" t="s">
        <v>8</v>
      </c>
      <c r="I10" s="201" t="s">
        <v>9</v>
      </c>
      <c r="J10" s="201" t="s">
        <v>367</v>
      </c>
      <c r="K10" s="598" t="s">
        <v>11</v>
      </c>
      <c r="L10" s="598"/>
      <c r="M10" s="598"/>
      <c r="N10" s="201" t="s">
        <v>12</v>
      </c>
      <c r="O10" s="201" t="s">
        <v>12</v>
      </c>
      <c r="P10" s="201"/>
      <c r="Q10" s="201" t="s">
        <v>13</v>
      </c>
      <c r="R10" s="436" t="s">
        <v>22</v>
      </c>
      <c r="S10" s="594" t="s">
        <v>9</v>
      </c>
      <c r="T10" s="436" t="s">
        <v>23</v>
      </c>
      <c r="U10" s="433" t="s">
        <v>367</v>
      </c>
      <c r="V10" s="594" t="s">
        <v>616</v>
      </c>
      <c r="W10" s="594" t="s">
        <v>448</v>
      </c>
      <c r="X10" s="594" t="s">
        <v>9</v>
      </c>
      <c r="Y10" s="388" t="s">
        <v>367</v>
      </c>
      <c r="Z10" s="594" t="s">
        <v>448</v>
      </c>
    </row>
    <row r="11" spans="1:29" s="223" customFormat="1" ht="14.25" customHeight="1" x14ac:dyDescent="0.25">
      <c r="A11" s="174" t="s">
        <v>14</v>
      </c>
      <c r="B11" s="174" t="s">
        <v>15</v>
      </c>
      <c r="C11" s="174" t="s">
        <v>16</v>
      </c>
      <c r="D11" s="201" t="s">
        <v>17</v>
      </c>
      <c r="E11" s="201" t="s">
        <v>18</v>
      </c>
      <c r="F11" s="203" t="s">
        <v>471</v>
      </c>
      <c r="G11" s="175" t="s">
        <v>19</v>
      </c>
      <c r="H11" s="174" t="s">
        <v>20</v>
      </c>
      <c r="I11" s="174" t="s">
        <v>20</v>
      </c>
      <c r="J11" s="174" t="s">
        <v>21</v>
      </c>
      <c r="K11" s="201" t="s">
        <v>22</v>
      </c>
      <c r="L11" s="201" t="s">
        <v>23</v>
      </c>
      <c r="M11" s="201" t="s">
        <v>10</v>
      </c>
      <c r="N11" s="174" t="s">
        <v>24</v>
      </c>
      <c r="O11" s="174" t="s">
        <v>25</v>
      </c>
      <c r="P11" s="201" t="s">
        <v>367</v>
      </c>
      <c r="Q11" s="174" t="s">
        <v>25</v>
      </c>
      <c r="R11" s="437" t="s">
        <v>617</v>
      </c>
      <c r="S11" s="595"/>
      <c r="T11" s="437" t="s">
        <v>617</v>
      </c>
      <c r="U11" s="389"/>
      <c r="V11" s="595"/>
      <c r="W11" s="595"/>
      <c r="X11" s="595"/>
      <c r="Y11" s="389"/>
      <c r="Z11" s="595"/>
    </row>
    <row r="12" spans="1:29" s="233" customFormat="1" ht="14.25" customHeight="1" x14ac:dyDescent="0.25">
      <c r="A12" s="224">
        <v>1</v>
      </c>
      <c r="B12" s="225" t="s">
        <v>27</v>
      </c>
      <c r="C12" s="226">
        <v>1</v>
      </c>
      <c r="D12" s="225" t="s">
        <v>28</v>
      </c>
      <c r="E12" s="247">
        <v>12</v>
      </c>
      <c r="F12" s="245">
        <f>F13</f>
        <v>1158.3</v>
      </c>
      <c r="G12" s="241">
        <v>1971</v>
      </c>
      <c r="H12" s="228">
        <f>SUM(Лист1!G7)</f>
        <v>1882677.7</v>
      </c>
      <c r="I12" s="228">
        <f>SUM(Лист1!H7)</f>
        <v>809868.76</v>
      </c>
      <c r="J12" s="228">
        <f>SUM(Лист1!I7)</f>
        <v>1288.1500000000001</v>
      </c>
      <c r="K12" s="228">
        <f>SUM(Лист1!J7)</f>
        <v>0</v>
      </c>
      <c r="L12" s="228">
        <f>SUM(Лист1!K7)</f>
        <v>0</v>
      </c>
      <c r="M12" s="228">
        <f>SUM(Лист1!L7)</f>
        <v>0</v>
      </c>
      <c r="N12" s="229">
        <v>2382.88</v>
      </c>
      <c r="O12" s="229">
        <v>2189.3000000000002</v>
      </c>
      <c r="P12" s="230">
        <v>3.31</v>
      </c>
      <c r="Q12" s="228">
        <f>SUM(Лист1!P7)</f>
        <v>0</v>
      </c>
      <c r="R12" s="430">
        <f>SUM(H12+N12)</f>
        <v>1885060.5799999998</v>
      </c>
      <c r="S12" s="231">
        <f>SUM(I12+O12-J12)</f>
        <v>810769.91</v>
      </c>
      <c r="T12" s="443">
        <f>S12-3*U12</f>
        <v>806895.53</v>
      </c>
      <c r="U12" s="443">
        <f>J12+P12</f>
        <v>1291.46</v>
      </c>
      <c r="V12" s="443">
        <f>R12-T12</f>
        <v>1078165.0499999998</v>
      </c>
      <c r="W12" s="232">
        <f>SUM(R12-S12)</f>
        <v>1074290.67</v>
      </c>
      <c r="X12" s="231">
        <f>SUM(S12-U12)</f>
        <v>809478.45000000007</v>
      </c>
      <c r="Y12" s="231">
        <f>SUM(U12)</f>
        <v>1291.46</v>
      </c>
      <c r="Z12" s="232">
        <f>SUM(U12+W12)</f>
        <v>1075582.1299999999</v>
      </c>
      <c r="AA12" s="22">
        <f t="shared" ref="AA12:AA72" si="0">SUM(U12-Y12)</f>
        <v>0</v>
      </c>
      <c r="AB12" s="424">
        <f>SUM(S12-X12-U12)</f>
        <v>-3.7289282772690058E-11</v>
      </c>
      <c r="AC12" s="424">
        <f>SUM(R12-X12-Z12)</f>
        <v>0</v>
      </c>
    </row>
    <row r="13" spans="1:29" ht="14.25" customHeight="1" x14ac:dyDescent="0.25">
      <c r="A13" s="163"/>
      <c r="B13" s="167"/>
      <c r="C13" s="146"/>
      <c r="D13" s="160" t="s">
        <v>470</v>
      </c>
      <c r="E13" s="453"/>
      <c r="F13" s="205">
        <v>1158.3</v>
      </c>
      <c r="G13" s="242"/>
      <c r="H13" s="148"/>
      <c r="I13" s="148"/>
      <c r="J13" s="148"/>
      <c r="K13" s="148"/>
      <c r="L13" s="148"/>
      <c r="M13" s="148"/>
      <c r="N13" s="139"/>
      <c r="O13" s="139"/>
      <c r="P13" s="140"/>
      <c r="Q13" s="148"/>
      <c r="R13" s="217"/>
      <c r="S13" s="211"/>
      <c r="T13" s="444"/>
      <c r="U13" s="444"/>
      <c r="V13" s="444"/>
      <c r="W13" s="212"/>
      <c r="X13" s="231">
        <f t="shared" ref="X13:X73" si="1">SUM(S13-U13)</f>
        <v>0</v>
      </c>
      <c r="Y13" s="231">
        <f t="shared" ref="Y13:Y73" si="2">SUM(U13)</f>
        <v>0</v>
      </c>
      <c r="Z13" s="232">
        <f t="shared" ref="Z13:Z73" si="3">SUM(U13+W13)</f>
        <v>0</v>
      </c>
      <c r="AA13" s="22">
        <f t="shared" si="0"/>
        <v>0</v>
      </c>
      <c r="AB13" s="424">
        <f t="shared" ref="AB13:AB73" si="4">SUM(S13-X13-U13)</f>
        <v>0</v>
      </c>
      <c r="AC13" s="424">
        <f t="shared" ref="AC13:AC73" si="5">SUM(R13-X13-Z13)</f>
        <v>0</v>
      </c>
    </row>
    <row r="14" spans="1:29" s="149" customFormat="1" ht="14.25" customHeight="1" x14ac:dyDescent="0.25">
      <c r="A14" s="152"/>
      <c r="B14" s="143"/>
      <c r="C14" s="154"/>
      <c r="D14" s="143"/>
      <c r="E14" s="170"/>
      <c r="F14" s="205"/>
      <c r="G14" s="242"/>
      <c r="H14" s="157"/>
      <c r="I14" s="157"/>
      <c r="J14" s="157"/>
      <c r="K14" s="157"/>
      <c r="L14" s="157"/>
      <c r="M14" s="157"/>
      <c r="N14" s="158"/>
      <c r="O14" s="158"/>
      <c r="P14" s="159"/>
      <c r="Q14" s="157"/>
      <c r="R14" s="427"/>
      <c r="S14" s="213"/>
      <c r="T14" s="444"/>
      <c r="U14" s="444"/>
      <c r="V14" s="444"/>
      <c r="W14" s="214"/>
      <c r="X14" s="231">
        <f t="shared" si="1"/>
        <v>0</v>
      </c>
      <c r="Y14" s="231">
        <f t="shared" si="2"/>
        <v>0</v>
      </c>
      <c r="Z14" s="232">
        <f t="shared" si="3"/>
        <v>0</v>
      </c>
      <c r="AA14" s="22">
        <f t="shared" si="0"/>
        <v>0</v>
      </c>
      <c r="AB14" s="424">
        <f t="shared" si="4"/>
        <v>0</v>
      </c>
      <c r="AC14" s="424">
        <f t="shared" si="5"/>
        <v>0</v>
      </c>
    </row>
    <row r="15" spans="1:29" s="233" customFormat="1" ht="14.25" customHeight="1" x14ac:dyDescent="0.25">
      <c r="A15" s="234">
        <f>SUM(A12+1)</f>
        <v>2</v>
      </c>
      <c r="B15" s="246" t="s">
        <v>30</v>
      </c>
      <c r="C15" s="235">
        <v>3</v>
      </c>
      <c r="D15" s="246" t="s">
        <v>31</v>
      </c>
      <c r="E15" s="247">
        <v>3</v>
      </c>
      <c r="F15" s="244">
        <f>F16</f>
        <v>245.54</v>
      </c>
      <c r="G15" s="248">
        <v>1960</v>
      </c>
      <c r="H15" s="237">
        <f>SUM(Лист1!G8)</f>
        <v>344116.87</v>
      </c>
      <c r="I15" s="237">
        <f>SUM(Лист1!H8)</f>
        <v>123550.95</v>
      </c>
      <c r="J15" s="237">
        <f>SUM(Лист1!I8)</f>
        <v>249.56</v>
      </c>
      <c r="K15" s="237">
        <f>SUM(Лист1!J8)</f>
        <v>0</v>
      </c>
      <c r="L15" s="237">
        <f>SUM(Лист1!K8)</f>
        <v>0</v>
      </c>
      <c r="M15" s="237">
        <f>SUM(Лист1!L8)</f>
        <v>0</v>
      </c>
      <c r="N15" s="237">
        <f>SUM(Лист1!M8)</f>
        <v>0</v>
      </c>
      <c r="O15" s="237">
        <f>SUM(Лист1!N8)</f>
        <v>0</v>
      </c>
      <c r="P15" s="237">
        <f>SUM(Лист1!O8)</f>
        <v>0</v>
      </c>
      <c r="Q15" s="237">
        <f>SUM(Лист1!P8)</f>
        <v>0</v>
      </c>
      <c r="R15" s="231">
        <f>SUM(H15+N15)</f>
        <v>344116.87</v>
      </c>
      <c r="S15" s="231">
        <f>SUM(I15+O15-J15)</f>
        <v>123301.39</v>
      </c>
      <c r="T15" s="443">
        <f>S15-3*U15</f>
        <v>122552.71</v>
      </c>
      <c r="U15" s="445">
        <f>J15+P15</f>
        <v>249.56</v>
      </c>
      <c r="V15" s="443">
        <f>R15-T15</f>
        <v>221564.15999999997</v>
      </c>
      <c r="W15" s="238">
        <f t="shared" ref="W15:W231" si="6">SUM(R15-S15)</f>
        <v>220815.47999999998</v>
      </c>
      <c r="X15" s="231">
        <f t="shared" si="1"/>
        <v>123051.83</v>
      </c>
      <c r="Y15" s="231">
        <f t="shared" si="2"/>
        <v>249.56</v>
      </c>
      <c r="Z15" s="232">
        <f t="shared" si="3"/>
        <v>221065.03999999998</v>
      </c>
      <c r="AA15" s="22">
        <f t="shared" si="0"/>
        <v>0</v>
      </c>
      <c r="AB15" s="424">
        <f t="shared" si="4"/>
        <v>-2.3305801732931286E-12</v>
      </c>
      <c r="AC15" s="424">
        <f t="shared" si="5"/>
        <v>0</v>
      </c>
    </row>
    <row r="16" spans="1:29" ht="14.25" customHeight="1" x14ac:dyDescent="0.25">
      <c r="A16" s="163"/>
      <c r="B16" s="167"/>
      <c r="C16" s="146"/>
      <c r="D16" s="160" t="s">
        <v>470</v>
      </c>
      <c r="E16" s="453"/>
      <c r="F16" s="208">
        <v>245.54</v>
      </c>
      <c r="G16" s="249"/>
      <c r="H16" s="148"/>
      <c r="I16" s="148"/>
      <c r="J16" s="148"/>
      <c r="K16" s="148"/>
      <c r="L16" s="148"/>
      <c r="M16" s="148"/>
      <c r="N16" s="148"/>
      <c r="O16" s="148"/>
      <c r="P16" s="148"/>
      <c r="Q16" s="148"/>
      <c r="R16" s="211"/>
      <c r="S16" s="211"/>
      <c r="T16" s="443"/>
      <c r="U16" s="445"/>
      <c r="V16" s="443"/>
      <c r="W16" s="212"/>
      <c r="X16" s="231">
        <f t="shared" si="1"/>
        <v>0</v>
      </c>
      <c r="Y16" s="231">
        <f t="shared" si="2"/>
        <v>0</v>
      </c>
      <c r="Z16" s="232">
        <f t="shared" si="3"/>
        <v>0</v>
      </c>
      <c r="AA16" s="22">
        <f t="shared" si="0"/>
        <v>0</v>
      </c>
      <c r="AB16" s="424">
        <f t="shared" si="4"/>
        <v>0</v>
      </c>
      <c r="AC16" s="424">
        <f t="shared" si="5"/>
        <v>0</v>
      </c>
    </row>
    <row r="17" spans="1:29" ht="14.25" customHeight="1" x14ac:dyDescent="0.25">
      <c r="A17" s="163"/>
      <c r="B17" s="167"/>
      <c r="C17" s="146"/>
      <c r="D17" s="161"/>
      <c r="E17" s="170"/>
      <c r="F17" s="208"/>
      <c r="G17" s="249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211"/>
      <c r="S17" s="211"/>
      <c r="T17" s="443"/>
      <c r="U17" s="445"/>
      <c r="V17" s="443"/>
      <c r="W17" s="212"/>
      <c r="X17" s="231">
        <f t="shared" si="1"/>
        <v>0</v>
      </c>
      <c r="Y17" s="231">
        <f t="shared" si="2"/>
        <v>0</v>
      </c>
      <c r="Z17" s="232">
        <f t="shared" si="3"/>
        <v>0</v>
      </c>
      <c r="AA17" s="22">
        <f t="shared" si="0"/>
        <v>0</v>
      </c>
      <c r="AB17" s="424">
        <f t="shared" si="4"/>
        <v>0</v>
      </c>
      <c r="AC17" s="424">
        <f t="shared" si="5"/>
        <v>0</v>
      </c>
    </row>
    <row r="18" spans="1:29" s="233" customFormat="1" ht="14.25" customHeight="1" x14ac:dyDescent="0.25">
      <c r="A18" s="224">
        <f>SUM(A15+1)</f>
        <v>3</v>
      </c>
      <c r="B18" s="225" t="s">
        <v>32</v>
      </c>
      <c r="C18" s="226">
        <v>4</v>
      </c>
      <c r="D18" s="225" t="s">
        <v>33</v>
      </c>
      <c r="E18" s="454">
        <v>45</v>
      </c>
      <c r="F18" s="245">
        <v>92</v>
      </c>
      <c r="G18" s="241">
        <v>1975</v>
      </c>
      <c r="H18" s="237">
        <f>SUM(Лист1!G9)</f>
        <v>166683.28</v>
      </c>
      <c r="I18" s="237">
        <f>SUM(Лист1!H9)</f>
        <v>62137.06</v>
      </c>
      <c r="J18" s="237">
        <f>SUM(Лист1!I9)</f>
        <v>97.16</v>
      </c>
      <c r="K18" s="237">
        <f>SUM(Лист1!J9)</f>
        <v>0</v>
      </c>
      <c r="L18" s="237">
        <f>SUM(Лист1!K9)</f>
        <v>0</v>
      </c>
      <c r="M18" s="237">
        <f>SUM(Лист1!L9)</f>
        <v>0</v>
      </c>
      <c r="N18" s="240">
        <v>898.41</v>
      </c>
      <c r="O18" s="240">
        <v>774.99</v>
      </c>
      <c r="P18" s="240">
        <v>1.1599999999999999</v>
      </c>
      <c r="Q18" s="237">
        <f>SUM(Лист1!P9)</f>
        <v>0</v>
      </c>
      <c r="R18" s="231">
        <f>SUM(H18+N18)</f>
        <v>167581.69</v>
      </c>
      <c r="S18" s="231">
        <f>SUM(I18+O18-J18)</f>
        <v>62814.889999999992</v>
      </c>
      <c r="T18" s="443">
        <f>S18-3*U18</f>
        <v>62519.929999999993</v>
      </c>
      <c r="U18" s="445">
        <f t="shared" ref="U18:U78" si="7">J18+P18</f>
        <v>98.32</v>
      </c>
      <c r="V18" s="443">
        <f t="shared" ref="V18:V78" si="8">R18-T18</f>
        <v>105061.76000000001</v>
      </c>
      <c r="W18" s="231">
        <f>SUM(R18-S18)</f>
        <v>104766.80000000002</v>
      </c>
      <c r="X18" s="231">
        <f t="shared" si="1"/>
        <v>62716.569999999992</v>
      </c>
      <c r="Y18" s="231">
        <f t="shared" si="2"/>
        <v>98.32</v>
      </c>
      <c r="Z18" s="232">
        <f t="shared" si="3"/>
        <v>104865.12000000002</v>
      </c>
      <c r="AA18" s="22">
        <f t="shared" si="0"/>
        <v>0</v>
      </c>
      <c r="AB18" s="424">
        <f t="shared" si="4"/>
        <v>-2.8421709430404007E-13</v>
      </c>
      <c r="AC18" s="424">
        <f t="shared" si="5"/>
        <v>-1.4551915228366852E-11</v>
      </c>
    </row>
    <row r="19" spans="1:29" ht="14.25" customHeight="1" x14ac:dyDescent="0.25">
      <c r="A19" s="163"/>
      <c r="B19" s="167"/>
      <c r="C19" s="146"/>
      <c r="D19" s="161" t="s">
        <v>508</v>
      </c>
      <c r="E19" s="169"/>
      <c r="F19" s="289"/>
      <c r="G19" s="242"/>
      <c r="H19" s="148"/>
      <c r="I19" s="148"/>
      <c r="J19" s="148"/>
      <c r="K19" s="148"/>
      <c r="L19" s="148"/>
      <c r="M19" s="148"/>
      <c r="N19" s="15"/>
      <c r="O19" s="15"/>
      <c r="P19" s="15"/>
      <c r="Q19" s="148"/>
      <c r="R19" s="211"/>
      <c r="S19" s="211"/>
      <c r="T19" s="443"/>
      <c r="U19" s="445"/>
      <c r="V19" s="443"/>
      <c r="W19" s="211"/>
      <c r="X19" s="231">
        <f t="shared" si="1"/>
        <v>0</v>
      </c>
      <c r="Y19" s="231">
        <f t="shared" si="2"/>
        <v>0</v>
      </c>
      <c r="Z19" s="232">
        <f t="shared" si="3"/>
        <v>0</v>
      </c>
      <c r="AA19" s="22">
        <f t="shared" si="0"/>
        <v>0</v>
      </c>
      <c r="AB19" s="424">
        <f t="shared" si="4"/>
        <v>0</v>
      </c>
      <c r="AC19" s="424">
        <f t="shared" si="5"/>
        <v>0</v>
      </c>
    </row>
    <row r="20" spans="1:29" ht="14.25" customHeight="1" x14ac:dyDescent="0.25">
      <c r="A20" s="163"/>
      <c r="B20" s="167"/>
      <c r="C20" s="146"/>
      <c r="D20" s="250" t="s">
        <v>509</v>
      </c>
      <c r="E20" s="169"/>
      <c r="F20" s="205">
        <v>37.299999999999997</v>
      </c>
      <c r="G20" s="242"/>
      <c r="H20" s="148"/>
      <c r="I20" s="148"/>
      <c r="J20" s="148"/>
      <c r="K20" s="148"/>
      <c r="L20" s="148"/>
      <c r="M20" s="148"/>
      <c r="N20" s="15"/>
      <c r="O20" s="15"/>
      <c r="P20" s="15"/>
      <c r="Q20" s="148"/>
      <c r="R20" s="211">
        <f>R18/F18*F20</f>
        <v>67943.44605434782</v>
      </c>
      <c r="S20" s="211">
        <f>S18/F18*F20</f>
        <v>25467.341271739126</v>
      </c>
      <c r="T20" s="443">
        <f>T$18/F$18*F20</f>
        <v>25347.754228260867</v>
      </c>
      <c r="U20" s="445"/>
      <c r="V20" s="443">
        <f t="shared" si="8"/>
        <v>42595.691826086957</v>
      </c>
      <c r="W20" s="211">
        <f>W18/F18*F20</f>
        <v>42476.104782608701</v>
      </c>
      <c r="X20" s="231">
        <f t="shared" si="1"/>
        <v>25467.341271739126</v>
      </c>
      <c r="Y20" s="231">
        <f t="shared" si="2"/>
        <v>0</v>
      </c>
      <c r="Z20" s="232">
        <f t="shared" si="3"/>
        <v>42476.104782608701</v>
      </c>
      <c r="AA20" s="22">
        <f t="shared" si="0"/>
        <v>0</v>
      </c>
      <c r="AB20" s="424">
        <f t="shared" si="4"/>
        <v>0</v>
      </c>
      <c r="AC20" s="424">
        <f t="shared" si="5"/>
        <v>-7.2759576141834259E-12</v>
      </c>
    </row>
    <row r="21" spans="1:29" ht="14.25" customHeight="1" x14ac:dyDescent="0.25">
      <c r="A21" s="163"/>
      <c r="B21" s="167"/>
      <c r="C21" s="146"/>
      <c r="D21" s="250" t="s">
        <v>510</v>
      </c>
      <c r="E21" s="169"/>
      <c r="F21" s="205">
        <v>54.7</v>
      </c>
      <c r="G21" s="242"/>
      <c r="H21" s="148"/>
      <c r="I21" s="148"/>
      <c r="J21" s="148"/>
      <c r="K21" s="148"/>
      <c r="L21" s="148"/>
      <c r="M21" s="148"/>
      <c r="N21" s="15"/>
      <c r="O21" s="15"/>
      <c r="P21" s="15"/>
      <c r="Q21" s="148"/>
      <c r="R21" s="211">
        <f>R18/F18*F21</f>
        <v>99638.243945652182</v>
      </c>
      <c r="S21" s="211">
        <f>S18/F18*F21</f>
        <v>37347.548728260866</v>
      </c>
      <c r="T21" s="443">
        <f>T$18/F$18*F21</f>
        <v>37172.17577173913</v>
      </c>
      <c r="U21" s="445"/>
      <c r="V21" s="443">
        <f t="shared" si="8"/>
        <v>62466.068173913052</v>
      </c>
      <c r="W21" s="211">
        <f>W18/F18*F21</f>
        <v>62290.695217391323</v>
      </c>
      <c r="X21" s="231">
        <f t="shared" si="1"/>
        <v>37347.548728260866</v>
      </c>
      <c r="Y21" s="231">
        <f t="shared" si="2"/>
        <v>0</v>
      </c>
      <c r="Z21" s="232">
        <f t="shared" si="3"/>
        <v>62290.695217391323</v>
      </c>
      <c r="AA21" s="22">
        <f t="shared" si="0"/>
        <v>0</v>
      </c>
      <c r="AB21" s="424">
        <f t="shared" si="4"/>
        <v>0</v>
      </c>
      <c r="AC21" s="424">
        <f t="shared" si="5"/>
        <v>-7.2759576141834259E-12</v>
      </c>
    </row>
    <row r="22" spans="1:29" ht="14.25" customHeight="1" x14ac:dyDescent="0.25">
      <c r="A22" s="152"/>
      <c r="B22" s="143"/>
      <c r="C22" s="154"/>
      <c r="D22" s="143"/>
      <c r="E22" s="170"/>
      <c r="F22" s="206"/>
      <c r="G22" s="242"/>
      <c r="H22" s="157"/>
      <c r="I22" s="157"/>
      <c r="J22" s="157"/>
      <c r="K22" s="157"/>
      <c r="L22" s="157"/>
      <c r="M22" s="157"/>
      <c r="N22" s="15"/>
      <c r="O22" s="15"/>
      <c r="P22" s="15"/>
      <c r="Q22" s="157"/>
      <c r="R22" s="213"/>
      <c r="S22" s="213"/>
      <c r="T22" s="443"/>
      <c r="U22" s="445"/>
      <c r="V22" s="443"/>
      <c r="W22" s="213"/>
      <c r="X22" s="231">
        <f t="shared" si="1"/>
        <v>0</v>
      </c>
      <c r="Y22" s="231">
        <f t="shared" si="2"/>
        <v>0</v>
      </c>
      <c r="Z22" s="232">
        <f t="shared" si="3"/>
        <v>0</v>
      </c>
      <c r="AA22" s="22">
        <f t="shared" si="0"/>
        <v>0</v>
      </c>
      <c r="AB22" s="424">
        <f t="shared" si="4"/>
        <v>0</v>
      </c>
      <c r="AC22" s="424">
        <f t="shared" si="5"/>
        <v>0</v>
      </c>
    </row>
    <row r="23" spans="1:29" s="233" customFormat="1" ht="14.25" customHeight="1" x14ac:dyDescent="0.25">
      <c r="A23" s="224">
        <f>SUM(A18+1)</f>
        <v>4</v>
      </c>
      <c r="B23" s="225" t="s">
        <v>34</v>
      </c>
      <c r="C23" s="226">
        <v>9</v>
      </c>
      <c r="D23" s="239" t="s">
        <v>35</v>
      </c>
      <c r="E23" s="253">
        <v>8</v>
      </c>
      <c r="F23" s="245">
        <f>F24</f>
        <v>884.4</v>
      </c>
      <c r="G23" s="241">
        <v>1982</v>
      </c>
      <c r="H23" s="237">
        <f>SUM(Лист1!G10)</f>
        <v>1993279.98</v>
      </c>
      <c r="I23" s="237">
        <f>SUM(Лист1!H10)</f>
        <v>861225.36</v>
      </c>
      <c r="J23" s="237">
        <f>SUM(Лист1!I10)</f>
        <v>1131.1099999999999</v>
      </c>
      <c r="K23" s="237">
        <f>SUM(Лист1!J10)</f>
        <v>0</v>
      </c>
      <c r="L23" s="237">
        <f>SUM(Лист1!K10)</f>
        <v>0</v>
      </c>
      <c r="M23" s="237">
        <f>SUM(Лист1!L10)</f>
        <v>0</v>
      </c>
      <c r="N23" s="227">
        <v>3531.3</v>
      </c>
      <c r="O23" s="227">
        <v>3280.2</v>
      </c>
      <c r="P23" s="240">
        <v>4.1399999999999997</v>
      </c>
      <c r="Q23" s="237">
        <f>SUM(Лист1!P10)</f>
        <v>0</v>
      </c>
      <c r="R23" s="231">
        <f>SUM(H23+N23)</f>
        <v>1996811.28</v>
      </c>
      <c r="S23" s="231">
        <f>SUM(I23+O23-J23)</f>
        <v>863374.45</v>
      </c>
      <c r="T23" s="443">
        <f>S23-3*U23</f>
        <v>859968.7</v>
      </c>
      <c r="U23" s="445">
        <f t="shared" si="7"/>
        <v>1135.25</v>
      </c>
      <c r="V23" s="443">
        <f t="shared" si="8"/>
        <v>1136842.58</v>
      </c>
      <c r="W23" s="231">
        <f t="shared" si="6"/>
        <v>1133436.83</v>
      </c>
      <c r="X23" s="231">
        <f t="shared" si="1"/>
        <v>862239.2</v>
      </c>
      <c r="Y23" s="231">
        <f t="shared" si="2"/>
        <v>1135.25</v>
      </c>
      <c r="Z23" s="232">
        <f t="shared" si="3"/>
        <v>1134572.08</v>
      </c>
      <c r="AA23" s="22">
        <f t="shared" si="0"/>
        <v>0</v>
      </c>
      <c r="AB23" s="424">
        <f t="shared" si="4"/>
        <v>0</v>
      </c>
      <c r="AC23" s="424">
        <f t="shared" si="5"/>
        <v>0</v>
      </c>
    </row>
    <row r="24" spans="1:29" ht="14.25" customHeight="1" x14ac:dyDescent="0.25">
      <c r="A24" s="163"/>
      <c r="B24" s="167"/>
      <c r="C24" s="146"/>
      <c r="D24" s="161" t="s">
        <v>470</v>
      </c>
      <c r="E24" s="147"/>
      <c r="F24" s="205">
        <v>884.4</v>
      </c>
      <c r="G24" s="242"/>
      <c r="H24" s="148"/>
      <c r="I24" s="148"/>
      <c r="J24" s="148"/>
      <c r="K24" s="148"/>
      <c r="L24" s="148"/>
      <c r="M24" s="148"/>
      <c r="N24" s="13"/>
      <c r="O24" s="13"/>
      <c r="P24" s="15"/>
      <c r="Q24" s="148"/>
      <c r="R24" s="211"/>
      <c r="S24" s="211"/>
      <c r="T24" s="443"/>
      <c r="U24" s="445"/>
      <c r="V24" s="443"/>
      <c r="W24" s="211"/>
      <c r="X24" s="231">
        <f t="shared" si="1"/>
        <v>0</v>
      </c>
      <c r="Y24" s="231">
        <f t="shared" si="2"/>
        <v>0</v>
      </c>
      <c r="Z24" s="232">
        <f t="shared" si="3"/>
        <v>0</v>
      </c>
      <c r="AA24" s="22">
        <f t="shared" si="0"/>
        <v>0</v>
      </c>
      <c r="AB24" s="424">
        <f t="shared" si="4"/>
        <v>0</v>
      </c>
      <c r="AC24" s="424">
        <f t="shared" si="5"/>
        <v>0</v>
      </c>
    </row>
    <row r="25" spans="1:29" ht="14.25" customHeight="1" x14ac:dyDescent="0.25">
      <c r="A25" s="163"/>
      <c r="B25" s="167"/>
      <c r="C25" s="146"/>
      <c r="D25" s="167"/>
      <c r="E25" s="147"/>
      <c r="F25" s="205"/>
      <c r="G25" s="242"/>
      <c r="H25" s="148"/>
      <c r="I25" s="148"/>
      <c r="J25" s="148"/>
      <c r="K25" s="148"/>
      <c r="L25" s="148"/>
      <c r="M25" s="148"/>
      <c r="N25" s="207"/>
      <c r="O25" s="207"/>
      <c r="P25" s="254"/>
      <c r="Q25" s="148"/>
      <c r="R25" s="211"/>
      <c r="S25" s="211"/>
      <c r="T25" s="443"/>
      <c r="U25" s="445"/>
      <c r="V25" s="443"/>
      <c r="W25" s="211"/>
      <c r="X25" s="231">
        <f t="shared" si="1"/>
        <v>0</v>
      </c>
      <c r="Y25" s="231">
        <f t="shared" si="2"/>
        <v>0</v>
      </c>
      <c r="Z25" s="232">
        <f t="shared" si="3"/>
        <v>0</v>
      </c>
      <c r="AA25" s="22">
        <f t="shared" si="0"/>
        <v>0</v>
      </c>
      <c r="AB25" s="424">
        <f t="shared" si="4"/>
        <v>0</v>
      </c>
      <c r="AC25" s="424">
        <f t="shared" si="5"/>
        <v>0</v>
      </c>
    </row>
    <row r="26" spans="1:29" s="257" customFormat="1" ht="14.25" customHeight="1" x14ac:dyDescent="0.25">
      <c r="A26" s="236">
        <f>SUM(A23+1)</f>
        <v>5</v>
      </c>
      <c r="B26" s="225" t="s">
        <v>36</v>
      </c>
      <c r="C26" s="226">
        <v>10</v>
      </c>
      <c r="D26" s="225" t="s">
        <v>37</v>
      </c>
      <c r="E26" s="454">
        <v>46</v>
      </c>
      <c r="F26" s="252">
        <f>F27</f>
        <v>57.1</v>
      </c>
      <c r="G26" s="248">
        <v>1986</v>
      </c>
      <c r="H26" s="237">
        <f>SUM(Лист1!G11)</f>
        <v>132650.72</v>
      </c>
      <c r="I26" s="237">
        <f>SUM(Лист1!H11)</f>
        <v>53370.26</v>
      </c>
      <c r="J26" s="237">
        <f>SUM(Лист1!I11)</f>
        <v>70.540000000000006</v>
      </c>
      <c r="K26" s="237">
        <f>SUM(Лист1!J11)</f>
        <v>0</v>
      </c>
      <c r="L26" s="237">
        <f>SUM(Лист1!K11)</f>
        <v>0</v>
      </c>
      <c r="M26" s="237">
        <f>SUM(Лист1!L11)</f>
        <v>0</v>
      </c>
      <c r="N26" s="259">
        <v>69.48</v>
      </c>
      <c r="O26" s="259">
        <v>59.24</v>
      </c>
      <c r="P26" s="259">
        <v>0.08</v>
      </c>
      <c r="Q26" s="237">
        <f>SUM(Лист1!P11)</f>
        <v>0</v>
      </c>
      <c r="R26" s="231">
        <f>SUM(H26+N26)</f>
        <v>132720.20000000001</v>
      </c>
      <c r="S26" s="231">
        <f>SUM(I26+O26-J26)</f>
        <v>53358.96</v>
      </c>
      <c r="T26" s="443">
        <f>S26-3*U26</f>
        <v>53147.1</v>
      </c>
      <c r="U26" s="445">
        <f t="shared" si="7"/>
        <v>70.62</v>
      </c>
      <c r="V26" s="443">
        <f t="shared" si="8"/>
        <v>79573.100000000006</v>
      </c>
      <c r="W26" s="238">
        <f t="shared" si="6"/>
        <v>79361.24000000002</v>
      </c>
      <c r="X26" s="231">
        <f t="shared" si="1"/>
        <v>53288.34</v>
      </c>
      <c r="Y26" s="231">
        <f t="shared" si="2"/>
        <v>70.62</v>
      </c>
      <c r="Z26" s="232">
        <f t="shared" si="3"/>
        <v>79431.860000000015</v>
      </c>
      <c r="AA26" s="22">
        <f t="shared" si="0"/>
        <v>0</v>
      </c>
      <c r="AB26" s="424">
        <f t="shared" si="4"/>
        <v>2.6147972675971687E-12</v>
      </c>
      <c r="AC26" s="424">
        <f t="shared" si="5"/>
        <v>0</v>
      </c>
    </row>
    <row r="27" spans="1:29" s="149" customFormat="1" ht="14.25" customHeight="1" x14ac:dyDescent="0.25">
      <c r="A27" s="163"/>
      <c r="B27" s="141"/>
      <c r="C27" s="146"/>
      <c r="D27" s="161" t="s">
        <v>472</v>
      </c>
      <c r="E27" s="453"/>
      <c r="F27" s="139">
        <v>57.1</v>
      </c>
      <c r="G27" s="249"/>
      <c r="H27" s="148"/>
      <c r="I27" s="148"/>
      <c r="J27" s="148"/>
      <c r="K27" s="148"/>
      <c r="L27" s="148"/>
      <c r="M27" s="148"/>
      <c r="N27" s="140"/>
      <c r="O27" s="140"/>
      <c r="P27" s="140"/>
      <c r="Q27" s="148"/>
      <c r="R27" s="211"/>
      <c r="S27" s="211"/>
      <c r="T27" s="443"/>
      <c r="U27" s="445"/>
      <c r="V27" s="443"/>
      <c r="W27" s="212"/>
      <c r="X27" s="231">
        <f t="shared" si="1"/>
        <v>0</v>
      </c>
      <c r="Y27" s="231">
        <f t="shared" si="2"/>
        <v>0</v>
      </c>
      <c r="Z27" s="232">
        <f t="shared" si="3"/>
        <v>0</v>
      </c>
      <c r="AA27" s="22">
        <f t="shared" si="0"/>
        <v>0</v>
      </c>
      <c r="AB27" s="424">
        <f t="shared" si="4"/>
        <v>0</v>
      </c>
      <c r="AC27" s="424">
        <f t="shared" si="5"/>
        <v>0</v>
      </c>
    </row>
    <row r="28" spans="1:29" s="149" customFormat="1" ht="14.25" customHeight="1" x14ac:dyDescent="0.25">
      <c r="A28" s="152"/>
      <c r="B28" s="143"/>
      <c r="C28" s="154"/>
      <c r="D28" s="143"/>
      <c r="E28" s="170"/>
      <c r="F28" s="158"/>
      <c r="G28" s="142"/>
      <c r="H28" s="157"/>
      <c r="I28" s="157"/>
      <c r="J28" s="157"/>
      <c r="K28" s="157"/>
      <c r="L28" s="157"/>
      <c r="M28" s="157"/>
      <c r="N28" s="159"/>
      <c r="O28" s="159"/>
      <c r="P28" s="159"/>
      <c r="Q28" s="157"/>
      <c r="R28" s="213"/>
      <c r="S28" s="213"/>
      <c r="T28" s="443"/>
      <c r="U28" s="445"/>
      <c r="V28" s="443"/>
      <c r="W28" s="214"/>
      <c r="X28" s="231">
        <f t="shared" si="1"/>
        <v>0</v>
      </c>
      <c r="Y28" s="231">
        <f t="shared" si="2"/>
        <v>0</v>
      </c>
      <c r="Z28" s="232">
        <f t="shared" si="3"/>
        <v>0</v>
      </c>
      <c r="AA28" s="22">
        <f t="shared" si="0"/>
        <v>0</v>
      </c>
      <c r="AB28" s="424">
        <f t="shared" si="4"/>
        <v>0</v>
      </c>
      <c r="AC28" s="424">
        <f t="shared" si="5"/>
        <v>0</v>
      </c>
    </row>
    <row r="29" spans="1:29" s="257" customFormat="1" ht="14.25" customHeight="1" x14ac:dyDescent="0.25">
      <c r="A29" s="224">
        <f>SUM(A26+1)</f>
        <v>6</v>
      </c>
      <c r="B29" s="225" t="s">
        <v>38</v>
      </c>
      <c r="C29" s="226">
        <v>23</v>
      </c>
      <c r="D29" s="246" t="s">
        <v>39</v>
      </c>
      <c r="E29" s="251">
        <v>21</v>
      </c>
      <c r="F29" s="245">
        <f>F30</f>
        <v>88.9</v>
      </c>
      <c r="G29" s="258">
        <v>1940</v>
      </c>
      <c r="H29" s="237">
        <f>SUM(Лист1!G12)</f>
        <v>158530.26</v>
      </c>
      <c r="I29" s="237">
        <f>SUM(Лист1!H12)</f>
        <v>29686.87</v>
      </c>
      <c r="J29" s="237">
        <f>SUM(Лист1!I12)</f>
        <v>114.78</v>
      </c>
      <c r="K29" s="237">
        <f>SUM(Лист1!J12)</f>
        <v>0</v>
      </c>
      <c r="L29" s="237">
        <f>SUM(Лист1!K12)</f>
        <v>0</v>
      </c>
      <c r="M29" s="237">
        <f>SUM(Лист1!L12)</f>
        <v>0</v>
      </c>
      <c r="N29" s="237">
        <f>SUM(Лист1!M12)</f>
        <v>0</v>
      </c>
      <c r="O29" s="237">
        <f>SUM(Лист1!N12)</f>
        <v>0</v>
      </c>
      <c r="P29" s="237">
        <f>SUM(Лист1!O12)</f>
        <v>0</v>
      </c>
      <c r="Q29" s="237">
        <f>SUM(Лист1!P12)</f>
        <v>0</v>
      </c>
      <c r="R29" s="231">
        <f>SUM(H29+N29)</f>
        <v>158530.26</v>
      </c>
      <c r="S29" s="231">
        <f>SUM(I29+O29-J29)</f>
        <v>29572.09</v>
      </c>
      <c r="T29" s="443">
        <f>S29-3*U29</f>
        <v>29227.75</v>
      </c>
      <c r="U29" s="445">
        <f t="shared" si="7"/>
        <v>114.78</v>
      </c>
      <c r="V29" s="443">
        <f t="shared" si="8"/>
        <v>129302.51000000001</v>
      </c>
      <c r="W29" s="238">
        <f t="shared" si="6"/>
        <v>128958.17000000001</v>
      </c>
      <c r="X29" s="231">
        <f t="shared" si="1"/>
        <v>29457.31</v>
      </c>
      <c r="Y29" s="231">
        <f t="shared" si="2"/>
        <v>114.78</v>
      </c>
      <c r="Z29" s="232">
        <f t="shared" si="3"/>
        <v>129072.95000000001</v>
      </c>
      <c r="AA29" s="22">
        <f t="shared" si="0"/>
        <v>0</v>
      </c>
      <c r="AB29" s="424">
        <f t="shared" si="4"/>
        <v>-1.1652900866465643E-12</v>
      </c>
      <c r="AC29" s="424">
        <f t="shared" si="5"/>
        <v>0</v>
      </c>
    </row>
    <row r="30" spans="1:29" s="149" customFormat="1" ht="14.25" customHeight="1" x14ac:dyDescent="0.25">
      <c r="A30" s="163"/>
      <c r="B30" s="167"/>
      <c r="C30" s="146"/>
      <c r="D30" s="161" t="s">
        <v>473</v>
      </c>
      <c r="E30" s="147"/>
      <c r="F30" s="205">
        <v>88.9</v>
      </c>
      <c r="G30" s="144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211"/>
      <c r="S30" s="211"/>
      <c r="T30" s="443"/>
      <c r="U30" s="445"/>
      <c r="V30" s="443"/>
      <c r="W30" s="212"/>
      <c r="X30" s="231">
        <f t="shared" si="1"/>
        <v>0</v>
      </c>
      <c r="Y30" s="231">
        <f t="shared" si="2"/>
        <v>0</v>
      </c>
      <c r="Z30" s="232">
        <f t="shared" si="3"/>
        <v>0</v>
      </c>
      <c r="AA30" s="22">
        <f t="shared" si="0"/>
        <v>0</v>
      </c>
      <c r="AB30" s="424">
        <f t="shared" si="4"/>
        <v>0</v>
      </c>
      <c r="AC30" s="424">
        <f t="shared" si="5"/>
        <v>0</v>
      </c>
    </row>
    <row r="31" spans="1:29" s="149" customFormat="1" ht="14.25" customHeight="1" x14ac:dyDescent="0.25">
      <c r="A31" s="152"/>
      <c r="B31" s="143"/>
      <c r="C31" s="154"/>
      <c r="D31" s="143"/>
      <c r="E31" s="155"/>
      <c r="F31" s="206"/>
      <c r="G31" s="156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213"/>
      <c r="S31" s="213"/>
      <c r="T31" s="443"/>
      <c r="U31" s="445"/>
      <c r="V31" s="443"/>
      <c r="W31" s="214"/>
      <c r="X31" s="231">
        <f t="shared" si="1"/>
        <v>0</v>
      </c>
      <c r="Y31" s="231">
        <f t="shared" si="2"/>
        <v>0</v>
      </c>
      <c r="Z31" s="232">
        <f t="shared" si="3"/>
        <v>0</v>
      </c>
      <c r="AA31" s="22">
        <f t="shared" si="0"/>
        <v>0</v>
      </c>
      <c r="AB31" s="424">
        <f t="shared" si="4"/>
        <v>0</v>
      </c>
      <c r="AC31" s="424">
        <f t="shared" si="5"/>
        <v>0</v>
      </c>
    </row>
    <row r="32" spans="1:29" s="257" customFormat="1" ht="14.25" customHeight="1" x14ac:dyDescent="0.25">
      <c r="A32" s="224">
        <f>SUM(A29+1)</f>
        <v>7</v>
      </c>
      <c r="B32" s="225" t="s">
        <v>40</v>
      </c>
      <c r="C32" s="226">
        <v>27</v>
      </c>
      <c r="D32" s="225" t="s">
        <v>39</v>
      </c>
      <c r="E32" s="454">
        <v>32</v>
      </c>
      <c r="F32" s="245">
        <f>F33</f>
        <v>118</v>
      </c>
      <c r="G32" s="248">
        <v>1939</v>
      </c>
      <c r="H32" s="237">
        <f>SUM(Лист1!G13)</f>
        <v>186813.95</v>
      </c>
      <c r="I32" s="237">
        <f>SUM(Лист1!H13)</f>
        <v>38128.019999999997</v>
      </c>
      <c r="J32" s="237">
        <f>SUM(Лист1!I13)</f>
        <v>154.63999999999999</v>
      </c>
      <c r="K32" s="261"/>
      <c r="L32" s="261"/>
      <c r="M32" s="261"/>
      <c r="N32" s="261"/>
      <c r="O32" s="261"/>
      <c r="P32" s="261"/>
      <c r="Q32" s="261"/>
      <c r="R32" s="231">
        <f>SUM(H32+N32)</f>
        <v>186813.95</v>
      </c>
      <c r="S32" s="231">
        <f>SUM(I32+O32-J32)</f>
        <v>37973.379999999997</v>
      </c>
      <c r="T32" s="443">
        <f>S32-3*U32</f>
        <v>37509.46</v>
      </c>
      <c r="U32" s="445">
        <f t="shared" si="7"/>
        <v>154.63999999999999</v>
      </c>
      <c r="V32" s="443">
        <f t="shared" si="8"/>
        <v>149304.49000000002</v>
      </c>
      <c r="W32" s="238">
        <f t="shared" si="6"/>
        <v>148840.57</v>
      </c>
      <c r="X32" s="231">
        <f t="shared" si="1"/>
        <v>37818.74</v>
      </c>
      <c r="Y32" s="231">
        <f t="shared" si="2"/>
        <v>154.63999999999999</v>
      </c>
      <c r="Z32" s="232">
        <f t="shared" si="3"/>
        <v>148995.21000000002</v>
      </c>
      <c r="AA32" s="22">
        <f t="shared" si="0"/>
        <v>0</v>
      </c>
      <c r="AB32" s="424">
        <f t="shared" si="4"/>
        <v>-5.6843418860808015E-13</v>
      </c>
      <c r="AC32" s="424">
        <f t="shared" si="5"/>
        <v>0</v>
      </c>
    </row>
    <row r="33" spans="1:29" s="149" customFormat="1" ht="14.25" customHeight="1" x14ac:dyDescent="0.25">
      <c r="A33" s="163"/>
      <c r="B33" s="167"/>
      <c r="C33" s="146"/>
      <c r="D33" s="161" t="s">
        <v>470</v>
      </c>
      <c r="E33" s="169"/>
      <c r="F33" s="205">
        <v>118</v>
      </c>
      <c r="G33" s="249"/>
      <c r="H33" s="148"/>
      <c r="I33" s="148"/>
      <c r="J33" s="148"/>
      <c r="R33" s="211"/>
      <c r="S33" s="211"/>
      <c r="T33" s="443"/>
      <c r="U33" s="445"/>
      <c r="V33" s="443"/>
      <c r="W33" s="212"/>
      <c r="X33" s="231">
        <f t="shared" si="1"/>
        <v>0</v>
      </c>
      <c r="Y33" s="231">
        <f t="shared" si="2"/>
        <v>0</v>
      </c>
      <c r="Z33" s="232">
        <f t="shared" si="3"/>
        <v>0</v>
      </c>
      <c r="AA33" s="22">
        <f t="shared" si="0"/>
        <v>0</v>
      </c>
      <c r="AB33" s="424">
        <f t="shared" si="4"/>
        <v>0</v>
      </c>
      <c r="AC33" s="424">
        <f t="shared" si="5"/>
        <v>0</v>
      </c>
    </row>
    <row r="34" spans="1:29" s="149" customFormat="1" ht="14.25" customHeight="1" x14ac:dyDescent="0.25">
      <c r="A34" s="152"/>
      <c r="B34" s="143"/>
      <c r="C34" s="154"/>
      <c r="D34" s="143"/>
      <c r="E34" s="170"/>
      <c r="F34" s="206"/>
      <c r="G34" s="142"/>
      <c r="H34" s="157"/>
      <c r="I34" s="157"/>
      <c r="J34" s="157"/>
      <c r="K34" s="171"/>
      <c r="L34" s="171"/>
      <c r="M34" s="171"/>
      <c r="N34" s="171"/>
      <c r="O34" s="171"/>
      <c r="P34" s="171"/>
      <c r="Q34" s="171"/>
      <c r="R34" s="213"/>
      <c r="S34" s="213"/>
      <c r="T34" s="443"/>
      <c r="U34" s="445"/>
      <c r="V34" s="443"/>
      <c r="W34" s="214"/>
      <c r="X34" s="231">
        <f t="shared" si="1"/>
        <v>0</v>
      </c>
      <c r="Y34" s="231">
        <f t="shared" si="2"/>
        <v>0</v>
      </c>
      <c r="Z34" s="232">
        <f t="shared" si="3"/>
        <v>0</v>
      </c>
      <c r="AA34" s="22">
        <f t="shared" si="0"/>
        <v>0</v>
      </c>
      <c r="AB34" s="424">
        <f t="shared" si="4"/>
        <v>0</v>
      </c>
      <c r="AC34" s="424">
        <f t="shared" si="5"/>
        <v>0</v>
      </c>
    </row>
    <row r="35" spans="1:29" s="257" customFormat="1" ht="14.25" customHeight="1" x14ac:dyDescent="0.25">
      <c r="A35" s="224">
        <f>SUM(A32+1)</f>
        <v>8</v>
      </c>
      <c r="B35" s="225" t="s">
        <v>41</v>
      </c>
      <c r="C35" s="226">
        <v>29</v>
      </c>
      <c r="D35" s="225" t="s">
        <v>39</v>
      </c>
      <c r="E35" s="454">
        <v>44</v>
      </c>
      <c r="F35" s="245">
        <f>F36</f>
        <v>90</v>
      </c>
      <c r="G35" s="248">
        <v>1939</v>
      </c>
      <c r="H35" s="237">
        <f>SUM(Лист1!G14)</f>
        <v>244965.75</v>
      </c>
      <c r="I35" s="237">
        <f>SUM(Лист1!H14)</f>
        <v>43373.74</v>
      </c>
      <c r="J35" s="237">
        <f>SUM(Лист1!I14)</f>
        <v>174.92</v>
      </c>
      <c r="K35" s="261"/>
      <c r="L35" s="261"/>
      <c r="M35" s="261"/>
      <c r="N35" s="252">
        <v>7611.41</v>
      </c>
      <c r="O35" s="252">
        <v>6092.57</v>
      </c>
      <c r="P35" s="259">
        <v>22.66</v>
      </c>
      <c r="Q35" s="261"/>
      <c r="R35" s="231">
        <f>SUM(H35+N35)</f>
        <v>252577.16</v>
      </c>
      <c r="S35" s="231">
        <f>SUM(I35+O35-J35)</f>
        <v>49291.39</v>
      </c>
      <c r="T35" s="443">
        <f>S35-3*U35</f>
        <v>48698.65</v>
      </c>
      <c r="U35" s="445">
        <f t="shared" si="7"/>
        <v>197.57999999999998</v>
      </c>
      <c r="V35" s="443">
        <f t="shared" si="8"/>
        <v>203878.51</v>
      </c>
      <c r="W35" s="238">
        <f t="shared" si="6"/>
        <v>203285.77000000002</v>
      </c>
      <c r="X35" s="231">
        <f t="shared" si="1"/>
        <v>49093.81</v>
      </c>
      <c r="Y35" s="231">
        <f t="shared" si="2"/>
        <v>197.57999999999998</v>
      </c>
      <c r="Z35" s="232">
        <f t="shared" si="3"/>
        <v>203483.35</v>
      </c>
      <c r="AA35" s="22">
        <f t="shared" si="0"/>
        <v>0</v>
      </c>
      <c r="AB35" s="424">
        <f t="shared" si="4"/>
        <v>1.7621459846850485E-12</v>
      </c>
      <c r="AC35" s="424">
        <f t="shared" si="5"/>
        <v>0</v>
      </c>
    </row>
    <row r="36" spans="1:29" s="149" customFormat="1" ht="14.25" customHeight="1" x14ac:dyDescent="0.25">
      <c r="A36" s="163"/>
      <c r="B36" s="167"/>
      <c r="C36" s="146"/>
      <c r="D36" s="161" t="s">
        <v>470</v>
      </c>
      <c r="E36" s="147"/>
      <c r="F36" s="205">
        <v>90</v>
      </c>
      <c r="G36" s="249"/>
      <c r="H36" s="148"/>
      <c r="I36" s="148"/>
      <c r="J36" s="148"/>
      <c r="N36" s="139"/>
      <c r="O36" s="139"/>
      <c r="P36" s="140"/>
      <c r="R36" s="211"/>
      <c r="S36" s="211"/>
      <c r="T36" s="443"/>
      <c r="U36" s="445"/>
      <c r="V36" s="443"/>
      <c r="W36" s="212"/>
      <c r="X36" s="231">
        <f t="shared" si="1"/>
        <v>0</v>
      </c>
      <c r="Y36" s="231">
        <f t="shared" si="2"/>
        <v>0</v>
      </c>
      <c r="Z36" s="232">
        <f t="shared" si="3"/>
        <v>0</v>
      </c>
      <c r="AA36" s="22">
        <f t="shared" si="0"/>
        <v>0</v>
      </c>
      <c r="AB36" s="424">
        <f t="shared" si="4"/>
        <v>0</v>
      </c>
      <c r="AC36" s="424">
        <f t="shared" si="5"/>
        <v>0</v>
      </c>
    </row>
    <row r="37" spans="1:29" s="149" customFormat="1" ht="14.25" customHeight="1" x14ac:dyDescent="0.25">
      <c r="A37" s="152"/>
      <c r="B37" s="143"/>
      <c r="C37" s="154"/>
      <c r="D37" s="143"/>
      <c r="E37" s="155"/>
      <c r="F37" s="206"/>
      <c r="G37" s="142"/>
      <c r="H37" s="157"/>
      <c r="I37" s="157"/>
      <c r="J37" s="157"/>
      <c r="K37" s="171"/>
      <c r="L37" s="171"/>
      <c r="M37" s="171"/>
      <c r="N37" s="158"/>
      <c r="O37" s="158"/>
      <c r="P37" s="159"/>
      <c r="Q37" s="171"/>
      <c r="R37" s="213"/>
      <c r="S37" s="213"/>
      <c r="T37" s="443"/>
      <c r="U37" s="445"/>
      <c r="V37" s="443"/>
      <c r="W37" s="214"/>
      <c r="X37" s="231">
        <f t="shared" si="1"/>
        <v>0</v>
      </c>
      <c r="Y37" s="231">
        <f t="shared" si="2"/>
        <v>0</v>
      </c>
      <c r="Z37" s="232">
        <f t="shared" si="3"/>
        <v>0</v>
      </c>
      <c r="AA37" s="22">
        <f t="shared" si="0"/>
        <v>0</v>
      </c>
      <c r="AB37" s="424">
        <f t="shared" si="4"/>
        <v>0</v>
      </c>
      <c r="AC37" s="424">
        <f t="shared" si="5"/>
        <v>0</v>
      </c>
    </row>
    <row r="38" spans="1:29" s="286" customFormat="1" ht="14.25" customHeight="1" x14ac:dyDescent="0.25">
      <c r="A38" s="367">
        <f>SUM(A35+1)</f>
        <v>9</v>
      </c>
      <c r="B38" s="360" t="s">
        <v>42</v>
      </c>
      <c r="C38" s="397">
        <v>37</v>
      </c>
      <c r="D38" s="360" t="s">
        <v>43</v>
      </c>
      <c r="E38" s="455">
        <v>21</v>
      </c>
      <c r="F38" s="369">
        <f>SUM(F39:F40)</f>
        <v>305.7</v>
      </c>
      <c r="G38" s="377">
        <v>1948</v>
      </c>
      <c r="H38" s="363">
        <f>SUM(Лист1!G15)</f>
        <v>735613.92</v>
      </c>
      <c r="I38" s="363">
        <f>SUM(Лист1!H15)</f>
        <v>166780.76999999999</v>
      </c>
      <c r="J38" s="363">
        <f>SUM(Лист1!I15)</f>
        <v>543.48</v>
      </c>
      <c r="K38" s="364"/>
      <c r="L38" s="364"/>
      <c r="M38" s="364"/>
      <c r="N38" s="364"/>
      <c r="O38" s="364"/>
      <c r="P38" s="364"/>
      <c r="Q38" s="364"/>
      <c r="R38" s="231">
        <f>SUM(H38+N38)</f>
        <v>735613.92</v>
      </c>
      <c r="S38" s="231">
        <f>SUM(I38+O38-J38)</f>
        <v>166237.28999999998</v>
      </c>
      <c r="T38" s="443">
        <f>S38-3*U38</f>
        <v>164606.84999999998</v>
      </c>
      <c r="U38" s="445">
        <f t="shared" si="7"/>
        <v>543.48</v>
      </c>
      <c r="V38" s="443">
        <f>R38-T38</f>
        <v>571007.07000000007</v>
      </c>
      <c r="W38" s="371">
        <f t="shared" si="6"/>
        <v>569376.63000000012</v>
      </c>
      <c r="X38" s="231">
        <f t="shared" si="1"/>
        <v>165693.80999999997</v>
      </c>
      <c r="Y38" s="231">
        <f t="shared" si="2"/>
        <v>543.48</v>
      </c>
      <c r="Z38" s="232">
        <f t="shared" si="3"/>
        <v>569920.1100000001</v>
      </c>
      <c r="AA38" s="22">
        <f t="shared" si="0"/>
        <v>0</v>
      </c>
      <c r="AB38" s="424">
        <f t="shared" si="4"/>
        <v>1.0459189070388675E-11</v>
      </c>
      <c r="AC38" s="424">
        <f t="shared" si="5"/>
        <v>0</v>
      </c>
    </row>
    <row r="39" spans="1:29" s="149" customFormat="1" ht="14.25" customHeight="1" x14ac:dyDescent="0.25">
      <c r="A39" s="163"/>
      <c r="B39" s="167"/>
      <c r="C39" s="146"/>
      <c r="D39" s="161" t="s">
        <v>473</v>
      </c>
      <c r="E39" s="147"/>
      <c r="F39" s="205">
        <v>24.2</v>
      </c>
      <c r="G39" s="249"/>
      <c r="H39" s="148"/>
      <c r="I39" s="148"/>
      <c r="J39" s="148"/>
      <c r="R39" s="211">
        <f>R38/F38*F39</f>
        <v>58233.094092247302</v>
      </c>
      <c r="S39" s="211">
        <f>S38/F38*F39</f>
        <v>13159.77238469087</v>
      </c>
      <c r="T39" s="443">
        <f>T38/F$38*F$39</f>
        <v>13030.702551521097</v>
      </c>
      <c r="U39" s="445">
        <f t="shared" si="7"/>
        <v>0</v>
      </c>
      <c r="V39" s="443">
        <f t="shared" si="8"/>
        <v>45202.391540726203</v>
      </c>
      <c r="W39" s="211">
        <f>W38/F38*F39</f>
        <v>45073.321707556439</v>
      </c>
      <c r="X39" s="231">
        <f t="shared" si="1"/>
        <v>13159.77238469087</v>
      </c>
      <c r="Y39" s="231">
        <f t="shared" si="2"/>
        <v>0</v>
      </c>
      <c r="Z39" s="232">
        <f t="shared" si="3"/>
        <v>45073.321707556439</v>
      </c>
      <c r="AA39" s="22">
        <f t="shared" si="0"/>
        <v>0</v>
      </c>
      <c r="AB39" s="424">
        <f t="shared" si="4"/>
        <v>0</v>
      </c>
      <c r="AC39" s="424">
        <f t="shared" si="5"/>
        <v>-7.2759576141834259E-12</v>
      </c>
    </row>
    <row r="40" spans="1:29" s="149" customFormat="1" ht="14.25" customHeight="1" x14ac:dyDescent="0.25">
      <c r="A40" s="163"/>
      <c r="B40" s="167"/>
      <c r="C40" s="146"/>
      <c r="D40" s="161" t="s">
        <v>470</v>
      </c>
      <c r="E40" s="147"/>
      <c r="F40" s="205">
        <v>281.5</v>
      </c>
      <c r="G40" s="249"/>
      <c r="H40" s="148"/>
      <c r="I40" s="148"/>
      <c r="J40" s="148"/>
      <c r="R40" s="211">
        <f>R38/F38*F40</f>
        <v>677380.82590775273</v>
      </c>
      <c r="S40" s="211">
        <f>S38/F38*F40</f>
        <v>153077.5176153091</v>
      </c>
      <c r="T40" s="443">
        <f>T39/F$38*F$39</f>
        <v>1031.5440030971886</v>
      </c>
      <c r="U40" s="445">
        <f t="shared" si="7"/>
        <v>0</v>
      </c>
      <c r="V40" s="443">
        <f t="shared" si="8"/>
        <v>676349.28190465551</v>
      </c>
      <c r="W40" s="211">
        <f>W38/F38*F40</f>
        <v>524303.30829244375</v>
      </c>
      <c r="X40" s="231">
        <f t="shared" si="1"/>
        <v>153077.5176153091</v>
      </c>
      <c r="Y40" s="231">
        <f t="shared" si="2"/>
        <v>0</v>
      </c>
      <c r="Z40" s="232">
        <f t="shared" si="3"/>
        <v>524303.30829244375</v>
      </c>
      <c r="AA40" s="22">
        <f t="shared" si="0"/>
        <v>0</v>
      </c>
      <c r="AB40" s="424">
        <f t="shared" si="4"/>
        <v>0</v>
      </c>
      <c r="AC40" s="424">
        <f t="shared" si="5"/>
        <v>-1.1641532182693481E-10</v>
      </c>
    </row>
    <row r="41" spans="1:29" s="149" customFormat="1" ht="14.25" customHeight="1" x14ac:dyDescent="0.25">
      <c r="A41" s="152"/>
      <c r="B41" s="143"/>
      <c r="C41" s="154"/>
      <c r="D41" s="162"/>
      <c r="E41" s="155"/>
      <c r="F41" s="206"/>
      <c r="G41" s="249"/>
      <c r="H41" s="157"/>
      <c r="I41" s="157"/>
      <c r="J41" s="157"/>
      <c r="K41" s="171"/>
      <c r="L41" s="171"/>
      <c r="M41" s="171"/>
      <c r="N41" s="171"/>
      <c r="O41" s="171"/>
      <c r="P41" s="171"/>
      <c r="Q41" s="171"/>
      <c r="R41" s="213"/>
      <c r="S41" s="213"/>
      <c r="T41" s="443"/>
      <c r="U41" s="445"/>
      <c r="V41" s="443"/>
      <c r="W41" s="213"/>
      <c r="X41" s="231">
        <f t="shared" si="1"/>
        <v>0</v>
      </c>
      <c r="Y41" s="231">
        <f t="shared" si="2"/>
        <v>0</v>
      </c>
      <c r="Z41" s="232">
        <f t="shared" si="3"/>
        <v>0</v>
      </c>
      <c r="AA41" s="22">
        <f t="shared" si="0"/>
        <v>0</v>
      </c>
      <c r="AB41" s="424">
        <f t="shared" si="4"/>
        <v>0</v>
      </c>
      <c r="AC41" s="424">
        <f t="shared" si="5"/>
        <v>0</v>
      </c>
    </row>
    <row r="42" spans="1:29" s="257" customFormat="1" ht="14.25" customHeight="1" x14ac:dyDescent="0.25">
      <c r="A42" s="224">
        <f>SUM(A38+1)</f>
        <v>10</v>
      </c>
      <c r="B42" s="225" t="s">
        <v>44</v>
      </c>
      <c r="C42" s="226">
        <v>39</v>
      </c>
      <c r="D42" s="225" t="s">
        <v>43</v>
      </c>
      <c r="E42" s="454">
        <v>32</v>
      </c>
      <c r="F42" s="244">
        <f>F43</f>
        <v>29.3</v>
      </c>
      <c r="G42" s="248">
        <v>1939</v>
      </c>
      <c r="H42" s="237">
        <f>SUM(Лист1!G16)</f>
        <v>57170.18</v>
      </c>
      <c r="I42" s="237">
        <f>SUM(Лист1!H16)</f>
        <v>8817.16</v>
      </c>
      <c r="J42" s="237">
        <f>SUM(Лист1!I16)</f>
        <v>38.380000000000003</v>
      </c>
      <c r="K42" s="261"/>
      <c r="L42" s="261"/>
      <c r="M42" s="261"/>
      <c r="N42" s="261"/>
      <c r="O42" s="261"/>
      <c r="P42" s="261"/>
      <c r="Q42" s="261"/>
      <c r="R42" s="231">
        <f>SUM(H42+N42)</f>
        <v>57170.18</v>
      </c>
      <c r="S42" s="231">
        <f>SUM(I42+O42-J42)</f>
        <v>8778.7800000000007</v>
      </c>
      <c r="T42" s="443">
        <f>S42-3*U42</f>
        <v>8663.6400000000012</v>
      </c>
      <c r="U42" s="445">
        <f t="shared" si="7"/>
        <v>38.380000000000003</v>
      </c>
      <c r="V42" s="443">
        <f t="shared" si="8"/>
        <v>48506.54</v>
      </c>
      <c r="W42" s="231">
        <f t="shared" si="6"/>
        <v>48391.4</v>
      </c>
      <c r="X42" s="231">
        <f t="shared" si="1"/>
        <v>8740.4000000000015</v>
      </c>
      <c r="Y42" s="231">
        <f t="shared" si="2"/>
        <v>38.380000000000003</v>
      </c>
      <c r="Z42" s="232">
        <f t="shared" si="3"/>
        <v>48429.78</v>
      </c>
      <c r="AA42" s="22">
        <f t="shared" si="0"/>
        <v>0</v>
      </c>
      <c r="AB42" s="424">
        <f t="shared" si="4"/>
        <v>-8.0291329140891321E-13</v>
      </c>
      <c r="AC42" s="424">
        <f t="shared" si="5"/>
        <v>0</v>
      </c>
    </row>
    <row r="43" spans="1:29" s="149" customFormat="1" ht="14.25" customHeight="1" x14ac:dyDescent="0.25">
      <c r="A43" s="163"/>
      <c r="B43" s="167"/>
      <c r="C43" s="146"/>
      <c r="D43" s="161" t="s">
        <v>474</v>
      </c>
      <c r="E43" s="169"/>
      <c r="F43" s="208">
        <v>29.3</v>
      </c>
      <c r="G43" s="249"/>
      <c r="H43" s="148"/>
      <c r="I43" s="148"/>
      <c r="J43" s="148"/>
      <c r="R43" s="211"/>
      <c r="S43" s="211"/>
      <c r="T43" s="443"/>
      <c r="U43" s="445"/>
      <c r="V43" s="443"/>
      <c r="W43" s="211"/>
      <c r="X43" s="231">
        <f t="shared" si="1"/>
        <v>0</v>
      </c>
      <c r="Y43" s="231">
        <f t="shared" si="2"/>
        <v>0</v>
      </c>
      <c r="Z43" s="232">
        <f t="shared" si="3"/>
        <v>0</v>
      </c>
      <c r="AA43" s="22">
        <f t="shared" si="0"/>
        <v>0</v>
      </c>
      <c r="AB43" s="424">
        <f t="shared" si="4"/>
        <v>0</v>
      </c>
      <c r="AC43" s="424">
        <f t="shared" si="5"/>
        <v>0</v>
      </c>
    </row>
    <row r="44" spans="1:29" s="149" customFormat="1" ht="14.25" customHeight="1" x14ac:dyDescent="0.25">
      <c r="A44" s="152"/>
      <c r="B44" s="143"/>
      <c r="C44" s="154"/>
      <c r="D44" s="143"/>
      <c r="E44" s="170"/>
      <c r="F44" s="209"/>
      <c r="G44" s="142"/>
      <c r="H44" s="157"/>
      <c r="I44" s="157"/>
      <c r="J44" s="157"/>
      <c r="K44" s="171"/>
      <c r="L44" s="171"/>
      <c r="M44" s="171"/>
      <c r="N44" s="171"/>
      <c r="O44" s="171"/>
      <c r="P44" s="171"/>
      <c r="Q44" s="171"/>
      <c r="R44" s="213"/>
      <c r="S44" s="213"/>
      <c r="T44" s="443"/>
      <c r="U44" s="445"/>
      <c r="V44" s="443"/>
      <c r="W44" s="213"/>
      <c r="X44" s="231">
        <f t="shared" si="1"/>
        <v>0</v>
      </c>
      <c r="Y44" s="231">
        <f t="shared" si="2"/>
        <v>0</v>
      </c>
      <c r="Z44" s="232">
        <f t="shared" si="3"/>
        <v>0</v>
      </c>
      <c r="AA44" s="22">
        <f t="shared" si="0"/>
        <v>0</v>
      </c>
      <c r="AB44" s="424">
        <f t="shared" si="4"/>
        <v>0</v>
      </c>
      <c r="AC44" s="424">
        <f t="shared" si="5"/>
        <v>0</v>
      </c>
    </row>
    <row r="45" spans="1:29" s="337" customFormat="1" ht="14.25" customHeight="1" x14ac:dyDescent="0.25">
      <c r="A45" s="330">
        <f>SUM(A42+1)</f>
        <v>11</v>
      </c>
      <c r="B45" s="323" t="s">
        <v>45</v>
      </c>
      <c r="C45" s="398">
        <v>40</v>
      </c>
      <c r="D45" s="323" t="s">
        <v>621</v>
      </c>
      <c r="E45" s="513" t="s">
        <v>620</v>
      </c>
      <c r="F45" s="351">
        <f>SUM(F46:F47)</f>
        <v>642.6</v>
      </c>
      <c r="G45" s="331">
        <v>1939</v>
      </c>
      <c r="H45" s="399">
        <f>SUM(Лист1!G17)</f>
        <v>708183.91</v>
      </c>
      <c r="I45" s="399">
        <f>SUM(Лист1!H17)</f>
        <v>115587.66</v>
      </c>
      <c r="J45" s="399">
        <f>SUM(Лист1!I17)</f>
        <v>462.43</v>
      </c>
      <c r="R45" s="231">
        <f>SUM(R46:R47)</f>
        <v>45574773.18</v>
      </c>
      <c r="S45" s="231">
        <f>SUM(I45+O45-J45)</f>
        <v>115125.23000000001</v>
      </c>
      <c r="T45" s="443">
        <f>SUM(T46:T47)</f>
        <v>4947608.4799999995</v>
      </c>
      <c r="U45" s="445">
        <f t="shared" si="7"/>
        <v>462.43</v>
      </c>
      <c r="V45" s="443">
        <f>SUM(V46:V47)</f>
        <v>40627164.700000003</v>
      </c>
      <c r="W45" s="332">
        <f t="shared" si="6"/>
        <v>45459647.950000003</v>
      </c>
      <c r="X45" s="231">
        <f t="shared" si="1"/>
        <v>114662.80000000002</v>
      </c>
      <c r="Y45" s="231">
        <f t="shared" si="2"/>
        <v>462.43</v>
      </c>
      <c r="Z45" s="232">
        <f t="shared" si="3"/>
        <v>45460110.380000003</v>
      </c>
      <c r="AA45" s="22">
        <f t="shared" si="0"/>
        <v>0</v>
      </c>
      <c r="AB45" s="424">
        <f t="shared" si="4"/>
        <v>-6.9917405198793858E-12</v>
      </c>
      <c r="AC45" s="424">
        <f t="shared" si="5"/>
        <v>0</v>
      </c>
    </row>
    <row r="46" spans="1:29" s="275" customFormat="1" ht="14.25" customHeight="1" x14ac:dyDescent="0.25">
      <c r="A46" s="272"/>
      <c r="B46" s="276"/>
      <c r="C46" s="266"/>
      <c r="D46" s="296" t="s">
        <v>473</v>
      </c>
      <c r="E46" s="457"/>
      <c r="F46" s="277">
        <v>551.6</v>
      </c>
      <c r="G46" s="278"/>
      <c r="H46" s="151"/>
      <c r="I46" s="151"/>
      <c r="J46" s="151"/>
      <c r="K46" s="269"/>
      <c r="L46" s="269"/>
      <c r="M46" s="269"/>
      <c r="N46" s="269"/>
      <c r="O46" s="269"/>
      <c r="P46" s="269"/>
      <c r="Q46" s="269"/>
      <c r="R46" s="274">
        <v>45474485.700000003</v>
      </c>
      <c r="S46" s="274"/>
      <c r="T46" s="443">
        <v>4931501.8</v>
      </c>
      <c r="U46" s="443">
        <v>4947608.4800000004</v>
      </c>
      <c r="V46" s="578">
        <f>SUM(R46-T46)</f>
        <v>40542983.900000006</v>
      </c>
      <c r="W46" s="274"/>
      <c r="X46" s="231">
        <f t="shared" si="1"/>
        <v>-4947608.4800000004</v>
      </c>
      <c r="Y46" s="231">
        <f t="shared" si="2"/>
        <v>4947608.4800000004</v>
      </c>
      <c r="Z46" s="232">
        <f t="shared" si="3"/>
        <v>4947608.4800000004</v>
      </c>
      <c r="AA46" s="22">
        <f t="shared" si="0"/>
        <v>0</v>
      </c>
      <c r="AB46" s="424">
        <f t="shared" si="4"/>
        <v>0</v>
      </c>
      <c r="AC46" s="424">
        <f t="shared" si="5"/>
        <v>45474485.700000003</v>
      </c>
    </row>
    <row r="47" spans="1:29" s="138" customFormat="1" ht="14.25" customHeight="1" x14ac:dyDescent="0.25">
      <c r="A47" s="514"/>
      <c r="B47" s="515"/>
      <c r="C47" s="516"/>
      <c r="D47" s="167" t="s">
        <v>469</v>
      </c>
      <c r="E47" s="169"/>
      <c r="F47" s="205">
        <v>91</v>
      </c>
      <c r="G47" s="249"/>
      <c r="H47" s="215"/>
      <c r="I47" s="215"/>
      <c r="J47" s="215"/>
      <c r="K47" s="579"/>
      <c r="L47" s="579"/>
      <c r="M47" s="579"/>
      <c r="N47" s="579"/>
      <c r="O47" s="579"/>
      <c r="P47" s="579"/>
      <c r="Q47" s="579"/>
      <c r="R47" s="211">
        <v>100287.48</v>
      </c>
      <c r="S47" s="211"/>
      <c r="T47" s="580">
        <v>16106.68</v>
      </c>
      <c r="U47" s="238"/>
      <c r="V47" s="580">
        <v>84180.800000000003</v>
      </c>
      <c r="W47" s="523"/>
      <c r="X47" s="524">
        <f t="shared" si="1"/>
        <v>0</v>
      </c>
      <c r="Y47" s="524">
        <f t="shared" si="2"/>
        <v>0</v>
      </c>
      <c r="Z47" s="525">
        <f t="shared" si="3"/>
        <v>0</v>
      </c>
      <c r="AA47" s="526">
        <f t="shared" si="0"/>
        <v>0</v>
      </c>
      <c r="AB47" s="527">
        <f t="shared" si="4"/>
        <v>0</v>
      </c>
      <c r="AC47" s="527">
        <f t="shared" si="5"/>
        <v>100287.48</v>
      </c>
    </row>
    <row r="48" spans="1:29" s="257" customFormat="1" ht="14.25" customHeight="1" x14ac:dyDescent="0.25">
      <c r="A48" s="224">
        <f>SUM(A45+1)</f>
        <v>12</v>
      </c>
      <c r="B48" s="225" t="s">
        <v>47</v>
      </c>
      <c r="C48" s="235">
        <v>47</v>
      </c>
      <c r="D48" s="225" t="s">
        <v>46</v>
      </c>
      <c r="E48" s="458" t="s">
        <v>475</v>
      </c>
      <c r="F48" s="245">
        <f>F49</f>
        <v>87.4</v>
      </c>
      <c r="G48" s="248">
        <v>1939</v>
      </c>
      <c r="H48" s="237">
        <f>SUM(Лист1!G18)</f>
        <v>61016.47</v>
      </c>
      <c r="I48" s="237">
        <f>SUM(Лист1!H18)</f>
        <v>10174.39</v>
      </c>
      <c r="J48" s="237">
        <f>SUM(Лист1!I18)</f>
        <v>42.43</v>
      </c>
      <c r="K48" s="261"/>
      <c r="L48" s="261"/>
      <c r="M48" s="261"/>
      <c r="N48" s="261"/>
      <c r="O48" s="261"/>
      <c r="P48" s="261"/>
      <c r="Q48" s="261"/>
      <c r="R48" s="231">
        <v>2662148.59</v>
      </c>
      <c r="S48" s="231">
        <f>SUM(I48+O48-J48)</f>
        <v>10131.959999999999</v>
      </c>
      <c r="T48" s="443">
        <v>448894.55</v>
      </c>
      <c r="U48" s="445">
        <f t="shared" si="7"/>
        <v>42.43</v>
      </c>
      <c r="V48" s="443">
        <f t="shared" si="8"/>
        <v>2213254.04</v>
      </c>
      <c r="W48" s="238">
        <f t="shared" si="6"/>
        <v>2652016.63</v>
      </c>
      <c r="X48" s="231">
        <f t="shared" si="1"/>
        <v>10089.529999999999</v>
      </c>
      <c r="Y48" s="231">
        <f t="shared" si="2"/>
        <v>42.43</v>
      </c>
      <c r="Z48" s="232">
        <f t="shared" si="3"/>
        <v>2652059.06</v>
      </c>
      <c r="AA48" s="22">
        <f t="shared" si="0"/>
        <v>0</v>
      </c>
      <c r="AB48" s="424">
        <f t="shared" si="4"/>
        <v>2.9132252166164108E-13</v>
      </c>
      <c r="AC48" s="424">
        <f t="shared" si="5"/>
        <v>0</v>
      </c>
    </row>
    <row r="49" spans="1:29" s="149" customFormat="1" ht="14.25" customHeight="1" x14ac:dyDescent="0.25">
      <c r="A49" s="163"/>
      <c r="B49" s="167"/>
      <c r="C49" s="146"/>
      <c r="D49" s="161" t="s">
        <v>473</v>
      </c>
      <c r="E49" s="147"/>
      <c r="F49" s="205">
        <v>87.4</v>
      </c>
      <c r="G49" s="249"/>
      <c r="H49" s="148"/>
      <c r="I49" s="148"/>
      <c r="J49" s="148"/>
      <c r="R49" s="211"/>
      <c r="S49" s="211"/>
      <c r="T49" s="443"/>
      <c r="U49" s="445"/>
      <c r="V49" s="443"/>
      <c r="W49" s="212"/>
      <c r="X49" s="231">
        <f t="shared" si="1"/>
        <v>0</v>
      </c>
      <c r="Y49" s="231">
        <f t="shared" si="2"/>
        <v>0</v>
      </c>
      <c r="Z49" s="232">
        <f t="shared" si="3"/>
        <v>0</v>
      </c>
      <c r="AA49" s="22">
        <f t="shared" si="0"/>
        <v>0</v>
      </c>
      <c r="AB49" s="424">
        <f t="shared" si="4"/>
        <v>0</v>
      </c>
      <c r="AC49" s="424">
        <f t="shared" si="5"/>
        <v>0</v>
      </c>
    </row>
    <row r="50" spans="1:29" s="149" customFormat="1" ht="14.25" customHeight="1" x14ac:dyDescent="0.25">
      <c r="A50" s="152"/>
      <c r="B50" s="143"/>
      <c r="C50" s="154"/>
      <c r="D50" s="143"/>
      <c r="E50" s="155"/>
      <c r="F50" s="206"/>
      <c r="G50" s="142"/>
      <c r="H50" s="157"/>
      <c r="I50" s="157"/>
      <c r="J50" s="157"/>
      <c r="K50" s="171"/>
      <c r="L50" s="171"/>
      <c r="M50" s="171"/>
      <c r="N50" s="171"/>
      <c r="O50" s="171"/>
      <c r="P50" s="171"/>
      <c r="Q50" s="171"/>
      <c r="R50" s="213"/>
      <c r="S50" s="213"/>
      <c r="T50" s="443"/>
      <c r="U50" s="445"/>
      <c r="V50" s="443"/>
      <c r="W50" s="214"/>
      <c r="X50" s="231">
        <f t="shared" si="1"/>
        <v>0</v>
      </c>
      <c r="Y50" s="231">
        <f t="shared" si="2"/>
        <v>0</v>
      </c>
      <c r="Z50" s="232">
        <f t="shared" si="3"/>
        <v>0</v>
      </c>
      <c r="AA50" s="22">
        <f t="shared" si="0"/>
        <v>0</v>
      </c>
      <c r="AB50" s="424">
        <f t="shared" si="4"/>
        <v>0</v>
      </c>
      <c r="AC50" s="424">
        <f t="shared" si="5"/>
        <v>0</v>
      </c>
    </row>
    <row r="51" spans="1:29" s="257" customFormat="1" ht="14.25" customHeight="1" x14ac:dyDescent="0.25">
      <c r="A51" s="224">
        <f>SUM(A48+1)</f>
        <v>13</v>
      </c>
      <c r="B51" s="225" t="s">
        <v>48</v>
      </c>
      <c r="C51" s="235">
        <v>51</v>
      </c>
      <c r="D51" s="225" t="s">
        <v>46</v>
      </c>
      <c r="E51" s="454">
        <v>19</v>
      </c>
      <c r="F51" s="245">
        <f>F52</f>
        <v>73.400000000000006</v>
      </c>
      <c r="G51" s="258">
        <v>1939</v>
      </c>
      <c r="H51" s="237">
        <f>SUM(Лист1!G19)</f>
        <v>111604.55</v>
      </c>
      <c r="I51" s="237">
        <f>SUM(Лист1!H19)</f>
        <v>19597.37</v>
      </c>
      <c r="J51" s="237">
        <f>SUM(Лист1!I19)</f>
        <v>85.84</v>
      </c>
      <c r="K51" s="261"/>
      <c r="L51" s="261"/>
      <c r="M51" s="261"/>
      <c r="N51" s="280">
        <f>SUM(Лист2!Q7)</f>
        <v>66.42</v>
      </c>
      <c r="O51" s="280">
        <f>SUM(Лист2!R7)</f>
        <v>52.59</v>
      </c>
      <c r="P51" s="280">
        <f>SUM(Лист2!S7)</f>
        <v>0.2</v>
      </c>
      <c r="Q51" s="261"/>
      <c r="R51" s="231">
        <f>SUM(H51+N51)</f>
        <v>111670.97</v>
      </c>
      <c r="S51" s="231">
        <f>SUM(I51+O51-J51)</f>
        <v>19564.12</v>
      </c>
      <c r="T51" s="443">
        <f>S51-3*U51</f>
        <v>19306</v>
      </c>
      <c r="U51" s="445">
        <f t="shared" si="7"/>
        <v>86.04</v>
      </c>
      <c r="V51" s="443">
        <f t="shared" si="8"/>
        <v>92364.97</v>
      </c>
      <c r="W51" s="238">
        <f t="shared" si="6"/>
        <v>92106.85</v>
      </c>
      <c r="X51" s="231">
        <f t="shared" si="1"/>
        <v>19478.079999999998</v>
      </c>
      <c r="Y51" s="231">
        <f t="shared" si="2"/>
        <v>86.04</v>
      </c>
      <c r="Z51" s="232">
        <f t="shared" si="3"/>
        <v>92192.89</v>
      </c>
      <c r="AA51" s="22">
        <f t="shared" si="0"/>
        <v>0</v>
      </c>
      <c r="AB51" s="424">
        <f t="shared" si="4"/>
        <v>8.6686213762732223E-13</v>
      </c>
      <c r="AC51" s="424">
        <f t="shared" si="5"/>
        <v>0</v>
      </c>
    </row>
    <row r="52" spans="1:29" s="149" customFormat="1" ht="14.25" customHeight="1" x14ac:dyDescent="0.25">
      <c r="A52" s="163"/>
      <c r="B52" s="167"/>
      <c r="C52" s="146"/>
      <c r="D52" s="161" t="s">
        <v>473</v>
      </c>
      <c r="E52" s="169"/>
      <c r="F52" s="205">
        <v>73.400000000000006</v>
      </c>
      <c r="G52" s="144"/>
      <c r="H52" s="148"/>
      <c r="I52" s="148"/>
      <c r="J52" s="148"/>
      <c r="N52" s="179"/>
      <c r="O52" s="179"/>
      <c r="P52" s="179"/>
      <c r="R52" s="211"/>
      <c r="S52" s="211"/>
      <c r="T52" s="443"/>
      <c r="U52" s="445"/>
      <c r="V52" s="443"/>
      <c r="W52" s="212"/>
      <c r="X52" s="231">
        <f t="shared" si="1"/>
        <v>0</v>
      </c>
      <c r="Y52" s="231">
        <f t="shared" si="2"/>
        <v>0</v>
      </c>
      <c r="Z52" s="232">
        <f t="shared" si="3"/>
        <v>0</v>
      </c>
      <c r="AA52" s="22">
        <f t="shared" si="0"/>
        <v>0</v>
      </c>
      <c r="AB52" s="424">
        <f t="shared" si="4"/>
        <v>0</v>
      </c>
      <c r="AC52" s="424">
        <f t="shared" si="5"/>
        <v>0</v>
      </c>
    </row>
    <row r="53" spans="1:29" s="149" customFormat="1" ht="14.25" customHeight="1" x14ac:dyDescent="0.25">
      <c r="A53" s="152"/>
      <c r="B53" s="143"/>
      <c r="C53" s="154"/>
      <c r="D53" s="143"/>
      <c r="E53" s="170"/>
      <c r="F53" s="206"/>
      <c r="G53" s="156"/>
      <c r="H53" s="157"/>
      <c r="I53" s="157"/>
      <c r="J53" s="157"/>
      <c r="K53" s="171"/>
      <c r="L53" s="171"/>
      <c r="M53" s="171"/>
      <c r="N53" s="181"/>
      <c r="O53" s="181"/>
      <c r="P53" s="181"/>
      <c r="Q53" s="171"/>
      <c r="R53" s="213"/>
      <c r="S53" s="231">
        <f t="shared" ref="S53:S54" si="9">SUM(I53+O53-J53)</f>
        <v>0</v>
      </c>
      <c r="T53" s="443"/>
      <c r="U53" s="445"/>
      <c r="V53" s="443"/>
      <c r="W53" s="214"/>
      <c r="X53" s="231">
        <f t="shared" si="1"/>
        <v>0</v>
      </c>
      <c r="Y53" s="231">
        <f t="shared" si="2"/>
        <v>0</v>
      </c>
      <c r="Z53" s="232">
        <f t="shared" si="3"/>
        <v>0</v>
      </c>
      <c r="AA53" s="22">
        <f t="shared" si="0"/>
        <v>0</v>
      </c>
      <c r="AB53" s="424">
        <f t="shared" si="4"/>
        <v>0</v>
      </c>
      <c r="AC53" s="424">
        <f t="shared" si="5"/>
        <v>0</v>
      </c>
    </row>
    <row r="54" spans="1:29" s="257" customFormat="1" ht="14.25" customHeight="1" x14ac:dyDescent="0.25">
      <c r="A54" s="224">
        <f>SUM(A51+1)</f>
        <v>14</v>
      </c>
      <c r="B54" s="225" t="s">
        <v>49</v>
      </c>
      <c r="C54" s="235">
        <v>52</v>
      </c>
      <c r="D54" s="225" t="s">
        <v>50</v>
      </c>
      <c r="E54" s="251">
        <v>2</v>
      </c>
      <c r="F54" s="245">
        <f>F55</f>
        <v>27.2</v>
      </c>
      <c r="G54" s="258">
        <v>1939</v>
      </c>
      <c r="H54" s="237">
        <f>SUM(Лист1!G20)</f>
        <v>13412.29</v>
      </c>
      <c r="I54" s="237">
        <f>SUM(Лист1!H20)</f>
        <v>2548.87</v>
      </c>
      <c r="J54" s="237">
        <f>SUM(Лист1!I20)</f>
        <v>10.93</v>
      </c>
      <c r="K54" s="261"/>
      <c r="L54" s="261"/>
      <c r="M54" s="261"/>
      <c r="N54" s="252">
        <v>1280.58</v>
      </c>
      <c r="O54" s="259">
        <v>923.57</v>
      </c>
      <c r="P54" s="259">
        <v>3.78</v>
      </c>
      <c r="Q54" s="261"/>
      <c r="R54" s="231">
        <f>SUM(H54+N54)</f>
        <v>14692.87</v>
      </c>
      <c r="S54" s="231">
        <f t="shared" si="9"/>
        <v>3461.51</v>
      </c>
      <c r="T54" s="443">
        <f>S54-3*U54</f>
        <v>3417.38</v>
      </c>
      <c r="U54" s="445">
        <f t="shared" si="7"/>
        <v>14.709999999999999</v>
      </c>
      <c r="V54" s="443">
        <f t="shared" si="8"/>
        <v>11275.490000000002</v>
      </c>
      <c r="W54" s="238">
        <f t="shared" si="6"/>
        <v>11231.36</v>
      </c>
      <c r="X54" s="231">
        <f t="shared" si="1"/>
        <v>3446.8</v>
      </c>
      <c r="Y54" s="231">
        <f t="shared" si="2"/>
        <v>14.709999999999999</v>
      </c>
      <c r="Z54" s="232">
        <f t="shared" si="3"/>
        <v>11246.07</v>
      </c>
      <c r="AA54" s="22">
        <f t="shared" si="0"/>
        <v>0</v>
      </c>
      <c r="AB54" s="424">
        <f t="shared" si="4"/>
        <v>3.730349362740526E-14</v>
      </c>
      <c r="AC54" s="424">
        <f t="shared" si="5"/>
        <v>0</v>
      </c>
    </row>
    <row r="55" spans="1:29" s="149" customFormat="1" ht="14.25" customHeight="1" x14ac:dyDescent="0.25">
      <c r="A55" s="163"/>
      <c r="B55" s="167"/>
      <c r="C55" s="146"/>
      <c r="D55" s="161" t="s">
        <v>476</v>
      </c>
      <c r="E55" s="453"/>
      <c r="F55" s="205">
        <v>27.2</v>
      </c>
      <c r="G55" s="144"/>
      <c r="H55" s="148"/>
      <c r="I55" s="148"/>
      <c r="J55" s="148"/>
      <c r="N55" s="139"/>
      <c r="O55" s="140"/>
      <c r="P55" s="140"/>
      <c r="R55" s="211"/>
      <c r="S55" s="211"/>
      <c r="T55" s="443"/>
      <c r="U55" s="445"/>
      <c r="V55" s="443"/>
      <c r="W55" s="212"/>
      <c r="X55" s="231">
        <f t="shared" si="1"/>
        <v>0</v>
      </c>
      <c r="Y55" s="231">
        <f t="shared" si="2"/>
        <v>0</v>
      </c>
      <c r="Z55" s="232">
        <f t="shared" si="3"/>
        <v>0</v>
      </c>
      <c r="AA55" s="22">
        <f t="shared" si="0"/>
        <v>0</v>
      </c>
      <c r="AB55" s="424">
        <f t="shared" si="4"/>
        <v>0</v>
      </c>
      <c r="AC55" s="424">
        <f t="shared" si="5"/>
        <v>0</v>
      </c>
    </row>
    <row r="56" spans="1:29" s="149" customFormat="1" ht="14.25" customHeight="1" x14ac:dyDescent="0.25">
      <c r="A56" s="152"/>
      <c r="B56" s="143"/>
      <c r="C56" s="154"/>
      <c r="D56" s="143"/>
      <c r="E56" s="170"/>
      <c r="F56" s="206"/>
      <c r="G56" s="156"/>
      <c r="H56" s="157"/>
      <c r="I56" s="157"/>
      <c r="J56" s="157"/>
      <c r="K56" s="171"/>
      <c r="L56" s="171"/>
      <c r="M56" s="171"/>
      <c r="N56" s="158"/>
      <c r="O56" s="159"/>
      <c r="P56" s="159"/>
      <c r="Q56" s="171"/>
      <c r="R56" s="213"/>
      <c r="S56" s="213"/>
      <c r="T56" s="443"/>
      <c r="U56" s="445"/>
      <c r="V56" s="443"/>
      <c r="W56" s="214"/>
      <c r="X56" s="231">
        <f t="shared" si="1"/>
        <v>0</v>
      </c>
      <c r="Y56" s="231">
        <f t="shared" si="2"/>
        <v>0</v>
      </c>
      <c r="Z56" s="232">
        <f t="shared" si="3"/>
        <v>0</v>
      </c>
      <c r="AA56" s="22">
        <f t="shared" si="0"/>
        <v>0</v>
      </c>
      <c r="AB56" s="424">
        <f t="shared" si="4"/>
        <v>0</v>
      </c>
      <c r="AC56" s="424">
        <f t="shared" si="5"/>
        <v>0</v>
      </c>
    </row>
    <row r="57" spans="1:29" s="257" customFormat="1" ht="14.25" customHeight="1" x14ac:dyDescent="0.25">
      <c r="A57" s="224">
        <f>SUM(A54+1)</f>
        <v>15</v>
      </c>
      <c r="B57" s="225" t="s">
        <v>51</v>
      </c>
      <c r="C57" s="255">
        <v>57</v>
      </c>
      <c r="D57" s="225" t="s">
        <v>50</v>
      </c>
      <c r="E57" s="454">
        <v>8</v>
      </c>
      <c r="F57" s="245">
        <f>F58</f>
        <v>29</v>
      </c>
      <c r="G57" s="248">
        <v>1948</v>
      </c>
      <c r="H57" s="256">
        <f>SUM(Лист1!G21)</f>
        <v>69018.97</v>
      </c>
      <c r="I57" s="256">
        <f>SUM(Лист1!H21)</f>
        <v>12412.36</v>
      </c>
      <c r="J57" s="256">
        <f>SUM(Лист1!I21)</f>
        <v>39.229999999999997</v>
      </c>
      <c r="R57" s="231">
        <f>SUM(H57+N57)</f>
        <v>69018.97</v>
      </c>
      <c r="S57" s="231">
        <f>SUM(I57+O57-J57)</f>
        <v>12373.130000000001</v>
      </c>
      <c r="T57" s="443">
        <f>S57-3*U57</f>
        <v>12255.44</v>
      </c>
      <c r="U57" s="445">
        <f t="shared" si="7"/>
        <v>39.229999999999997</v>
      </c>
      <c r="V57" s="443">
        <f t="shared" si="8"/>
        <v>56763.53</v>
      </c>
      <c r="W57" s="231">
        <f t="shared" si="6"/>
        <v>56645.84</v>
      </c>
      <c r="X57" s="231">
        <f t="shared" si="1"/>
        <v>12333.900000000001</v>
      </c>
      <c r="Y57" s="231">
        <f t="shared" si="2"/>
        <v>39.229999999999997</v>
      </c>
      <c r="Z57" s="232">
        <f t="shared" si="3"/>
        <v>56685.07</v>
      </c>
      <c r="AA57" s="22">
        <f t="shared" si="0"/>
        <v>0</v>
      </c>
      <c r="AB57" s="424">
        <f t="shared" si="4"/>
        <v>-4.3343106881366111E-13</v>
      </c>
      <c r="AC57" s="424">
        <f t="shared" si="5"/>
        <v>0</v>
      </c>
    </row>
    <row r="58" spans="1:29" s="269" customFormat="1" ht="14.25" customHeight="1" x14ac:dyDescent="0.25">
      <c r="A58" s="272"/>
      <c r="B58" s="281"/>
      <c r="C58" s="266"/>
      <c r="D58" s="296" t="s">
        <v>477</v>
      </c>
      <c r="E58" s="459"/>
      <c r="F58" s="277">
        <v>29</v>
      </c>
      <c r="G58" s="278"/>
      <c r="H58" s="151"/>
      <c r="I58" s="151"/>
      <c r="J58" s="151"/>
      <c r="R58" s="274"/>
      <c r="S58" s="274"/>
      <c r="T58" s="443"/>
      <c r="U58" s="445"/>
      <c r="V58" s="443"/>
      <c r="W58" s="274"/>
      <c r="X58" s="231">
        <f t="shared" si="1"/>
        <v>0</v>
      </c>
      <c r="Y58" s="231">
        <f t="shared" si="2"/>
        <v>0</v>
      </c>
      <c r="Z58" s="232">
        <f t="shared" si="3"/>
        <v>0</v>
      </c>
      <c r="AA58" s="22">
        <f t="shared" si="0"/>
        <v>0</v>
      </c>
      <c r="AB58" s="424">
        <f t="shared" si="4"/>
        <v>0</v>
      </c>
      <c r="AC58" s="424">
        <f t="shared" si="5"/>
        <v>0</v>
      </c>
    </row>
    <row r="59" spans="1:29" s="149" customFormat="1" ht="14.25" customHeight="1" x14ac:dyDescent="0.25">
      <c r="A59" s="163"/>
      <c r="B59" s="167"/>
      <c r="C59" s="146"/>
      <c r="D59" s="167"/>
      <c r="E59" s="169"/>
      <c r="F59" s="205"/>
      <c r="G59" s="249"/>
      <c r="H59" s="148"/>
      <c r="I59" s="148"/>
      <c r="J59" s="148"/>
      <c r="R59" s="211"/>
      <c r="S59" s="211"/>
      <c r="T59" s="443"/>
      <c r="U59" s="445"/>
      <c r="V59" s="443"/>
      <c r="W59" s="211"/>
      <c r="X59" s="231">
        <f t="shared" si="1"/>
        <v>0</v>
      </c>
      <c r="Y59" s="231">
        <f t="shared" si="2"/>
        <v>0</v>
      </c>
      <c r="Z59" s="232">
        <f t="shared" si="3"/>
        <v>0</v>
      </c>
      <c r="AA59" s="22">
        <f t="shared" si="0"/>
        <v>0</v>
      </c>
      <c r="AB59" s="424">
        <f t="shared" si="4"/>
        <v>0</v>
      </c>
      <c r="AC59" s="424">
        <f t="shared" si="5"/>
        <v>0</v>
      </c>
    </row>
    <row r="60" spans="1:29" s="257" customFormat="1" ht="14.25" customHeight="1" x14ac:dyDescent="0.25">
      <c r="A60" s="224">
        <f>SUM(A57+1)</f>
        <v>16</v>
      </c>
      <c r="B60" s="225" t="s">
        <v>52</v>
      </c>
      <c r="C60" s="235">
        <v>59</v>
      </c>
      <c r="D60" s="225" t="s">
        <v>50</v>
      </c>
      <c r="E60" s="454">
        <v>16</v>
      </c>
      <c r="F60" s="245">
        <f>F61</f>
        <v>23.5</v>
      </c>
      <c r="G60" s="258">
        <v>1939</v>
      </c>
      <c r="H60" s="237">
        <f>SUM(Лист1!G22)</f>
        <v>30134.92</v>
      </c>
      <c r="I60" s="237">
        <f>SUM(Лист1!H22)</f>
        <v>5159.18</v>
      </c>
      <c r="J60" s="237">
        <f>SUM(Лист1!I22)</f>
        <v>22.12</v>
      </c>
      <c r="K60" s="261"/>
      <c r="L60" s="261"/>
      <c r="M60" s="261"/>
      <c r="N60" s="261"/>
      <c r="O60" s="261"/>
      <c r="P60" s="261"/>
      <c r="Q60" s="261"/>
      <c r="R60" s="231">
        <f>SUM(H60+N60)</f>
        <v>30134.92</v>
      </c>
      <c r="S60" s="231">
        <f>SUM(I60+O60-J60)</f>
        <v>5137.0600000000004</v>
      </c>
      <c r="T60" s="443">
        <f>S60-3*U60</f>
        <v>5070.7000000000007</v>
      </c>
      <c r="U60" s="445">
        <f t="shared" si="7"/>
        <v>22.12</v>
      </c>
      <c r="V60" s="443">
        <f t="shared" si="8"/>
        <v>25064.219999999998</v>
      </c>
      <c r="W60" s="231">
        <f t="shared" si="6"/>
        <v>24997.859999999997</v>
      </c>
      <c r="X60" s="231">
        <f t="shared" si="1"/>
        <v>5114.9400000000005</v>
      </c>
      <c r="Y60" s="231">
        <f t="shared" si="2"/>
        <v>22.12</v>
      </c>
      <c r="Z60" s="232">
        <f t="shared" si="3"/>
        <v>25019.979999999996</v>
      </c>
      <c r="AA60" s="22">
        <f t="shared" si="0"/>
        <v>0</v>
      </c>
      <c r="AB60" s="424">
        <f t="shared" si="4"/>
        <v>-1.1013412404281553E-13</v>
      </c>
      <c r="AC60" s="424">
        <f t="shared" si="5"/>
        <v>0</v>
      </c>
    </row>
    <row r="61" spans="1:29" s="149" customFormat="1" ht="14.25" customHeight="1" x14ac:dyDescent="0.25">
      <c r="A61" s="163"/>
      <c r="B61" s="167"/>
      <c r="C61" s="146"/>
      <c r="D61" s="161" t="s">
        <v>473</v>
      </c>
      <c r="E61" s="169"/>
      <c r="F61" s="205">
        <v>23.5</v>
      </c>
      <c r="G61" s="144"/>
      <c r="H61" s="148"/>
      <c r="I61" s="148"/>
      <c r="J61" s="148"/>
      <c r="R61" s="211"/>
      <c r="S61" s="211"/>
      <c r="T61" s="443"/>
      <c r="U61" s="445"/>
      <c r="V61" s="443"/>
      <c r="W61" s="211"/>
      <c r="X61" s="231">
        <f t="shared" si="1"/>
        <v>0</v>
      </c>
      <c r="Y61" s="231">
        <f t="shared" si="2"/>
        <v>0</v>
      </c>
      <c r="Z61" s="232">
        <f t="shared" si="3"/>
        <v>0</v>
      </c>
      <c r="AA61" s="22">
        <f t="shared" si="0"/>
        <v>0</v>
      </c>
      <c r="AB61" s="424">
        <f t="shared" si="4"/>
        <v>0</v>
      </c>
      <c r="AC61" s="424">
        <f t="shared" si="5"/>
        <v>0</v>
      </c>
    </row>
    <row r="62" spans="1:29" s="149" customFormat="1" ht="14.25" customHeight="1" x14ac:dyDescent="0.25">
      <c r="A62" s="152"/>
      <c r="B62" s="143"/>
      <c r="C62" s="154"/>
      <c r="D62" s="143"/>
      <c r="E62" s="170"/>
      <c r="F62" s="206"/>
      <c r="G62" s="156"/>
      <c r="H62" s="157"/>
      <c r="I62" s="157"/>
      <c r="J62" s="157"/>
      <c r="K62" s="171"/>
      <c r="L62" s="171"/>
      <c r="M62" s="171"/>
      <c r="N62" s="171"/>
      <c r="O62" s="171"/>
      <c r="P62" s="171"/>
      <c r="Q62" s="171"/>
      <c r="R62" s="213"/>
      <c r="S62" s="213"/>
      <c r="T62" s="443"/>
      <c r="U62" s="445"/>
      <c r="V62" s="443"/>
      <c r="W62" s="213"/>
      <c r="X62" s="231">
        <f t="shared" si="1"/>
        <v>0</v>
      </c>
      <c r="Y62" s="231">
        <f t="shared" si="2"/>
        <v>0</v>
      </c>
      <c r="Z62" s="232">
        <f t="shared" si="3"/>
        <v>0</v>
      </c>
      <c r="AA62" s="22">
        <f t="shared" si="0"/>
        <v>0</v>
      </c>
      <c r="AB62" s="424">
        <f t="shared" si="4"/>
        <v>0</v>
      </c>
      <c r="AC62" s="424">
        <f t="shared" si="5"/>
        <v>0</v>
      </c>
    </row>
    <row r="63" spans="1:29" s="257" customFormat="1" ht="14.25" customHeight="1" x14ac:dyDescent="0.25">
      <c r="A63" s="224">
        <f>A60+1</f>
        <v>17</v>
      </c>
      <c r="B63" s="225" t="s">
        <v>54</v>
      </c>
      <c r="C63" s="226">
        <v>70</v>
      </c>
      <c r="D63" s="225" t="s">
        <v>55</v>
      </c>
      <c r="E63" s="251">
        <v>8</v>
      </c>
      <c r="F63" s="245">
        <f>F64</f>
        <v>59</v>
      </c>
      <c r="G63" s="248">
        <v>1939</v>
      </c>
      <c r="H63" s="237">
        <f>SUM(Лист1!G24)</f>
        <v>248367.66</v>
      </c>
      <c r="I63" s="237">
        <f>SUM(Лист1!H24)</f>
        <v>48466.65</v>
      </c>
      <c r="J63" s="237">
        <f>SUM(Лист1!I24)</f>
        <v>195.35</v>
      </c>
      <c r="K63" s="261"/>
      <c r="L63" s="261"/>
      <c r="M63" s="261"/>
      <c r="N63" s="261"/>
      <c r="O63" s="261"/>
      <c r="P63" s="261"/>
      <c r="Q63" s="261"/>
      <c r="R63" s="231">
        <f t="shared" ref="R63:R284" si="10">SUM(H63+N63)</f>
        <v>248367.66</v>
      </c>
      <c r="S63" s="231">
        <f>SUM(I63+O63-J63)</f>
        <v>48271.3</v>
      </c>
      <c r="T63" s="443">
        <f>S63-3*U63</f>
        <v>47685.25</v>
      </c>
      <c r="U63" s="445">
        <f t="shared" si="7"/>
        <v>195.35</v>
      </c>
      <c r="V63" s="443">
        <f t="shared" si="8"/>
        <v>200682.41</v>
      </c>
      <c r="W63" s="231">
        <f t="shared" si="6"/>
        <v>200096.36</v>
      </c>
      <c r="X63" s="231">
        <f t="shared" si="1"/>
        <v>48075.950000000004</v>
      </c>
      <c r="Y63" s="231">
        <f t="shared" si="2"/>
        <v>195.35</v>
      </c>
      <c r="Z63" s="232">
        <f t="shared" si="3"/>
        <v>200291.71</v>
      </c>
      <c r="AA63" s="22">
        <f t="shared" si="0"/>
        <v>0</v>
      </c>
      <c r="AB63" s="424">
        <f t="shared" si="4"/>
        <v>-1.4495071809506044E-12</v>
      </c>
      <c r="AC63" s="424">
        <f t="shared" si="5"/>
        <v>0</v>
      </c>
    </row>
    <row r="64" spans="1:29" s="149" customFormat="1" ht="14.25" customHeight="1" x14ac:dyDescent="0.25">
      <c r="A64" s="163"/>
      <c r="B64" s="167"/>
      <c r="C64" s="146"/>
      <c r="D64" s="161" t="s">
        <v>470</v>
      </c>
      <c r="E64" s="147"/>
      <c r="F64" s="205">
        <v>59</v>
      </c>
      <c r="G64" s="249"/>
      <c r="H64" s="148"/>
      <c r="I64" s="148"/>
      <c r="J64" s="148"/>
      <c r="R64" s="211"/>
      <c r="S64" s="211"/>
      <c r="T64" s="443"/>
      <c r="U64" s="445"/>
      <c r="V64" s="443"/>
      <c r="W64" s="211"/>
      <c r="X64" s="231">
        <f t="shared" si="1"/>
        <v>0</v>
      </c>
      <c r="Y64" s="231">
        <f t="shared" si="2"/>
        <v>0</v>
      </c>
      <c r="Z64" s="232">
        <f t="shared" si="3"/>
        <v>0</v>
      </c>
      <c r="AA64" s="22">
        <f t="shared" si="0"/>
        <v>0</v>
      </c>
      <c r="AB64" s="424">
        <f t="shared" si="4"/>
        <v>0</v>
      </c>
      <c r="AC64" s="424">
        <f t="shared" si="5"/>
        <v>0</v>
      </c>
    </row>
    <row r="65" spans="1:29" s="149" customFormat="1" ht="14.25" customHeight="1" x14ac:dyDescent="0.25">
      <c r="A65" s="152"/>
      <c r="B65" s="143"/>
      <c r="C65" s="154"/>
      <c r="D65" s="143"/>
      <c r="E65" s="155"/>
      <c r="F65" s="206"/>
      <c r="G65" s="142"/>
      <c r="H65" s="157"/>
      <c r="I65" s="157"/>
      <c r="J65" s="157"/>
      <c r="K65" s="171"/>
      <c r="L65" s="171"/>
      <c r="M65" s="171"/>
      <c r="N65" s="171"/>
      <c r="O65" s="171"/>
      <c r="P65" s="171"/>
      <c r="Q65" s="171"/>
      <c r="R65" s="213"/>
      <c r="S65" s="213"/>
      <c r="T65" s="443"/>
      <c r="U65" s="445"/>
      <c r="V65" s="443"/>
      <c r="W65" s="213"/>
      <c r="X65" s="231">
        <f t="shared" si="1"/>
        <v>0</v>
      </c>
      <c r="Y65" s="231">
        <f t="shared" si="2"/>
        <v>0</v>
      </c>
      <c r="Z65" s="232">
        <f t="shared" si="3"/>
        <v>0</v>
      </c>
      <c r="AA65" s="22">
        <f t="shared" si="0"/>
        <v>0</v>
      </c>
      <c r="AB65" s="424">
        <f t="shared" si="4"/>
        <v>0</v>
      </c>
      <c r="AC65" s="424">
        <f t="shared" si="5"/>
        <v>0</v>
      </c>
    </row>
    <row r="66" spans="1:29" s="337" customFormat="1" ht="14.25" customHeight="1" x14ac:dyDescent="0.25">
      <c r="A66" s="330">
        <f>SUM(A63+1)</f>
        <v>18</v>
      </c>
      <c r="B66" s="323" t="s">
        <v>56</v>
      </c>
      <c r="C66" s="452">
        <v>71</v>
      </c>
      <c r="D66" s="323" t="s">
        <v>55</v>
      </c>
      <c r="E66" s="456">
        <v>10</v>
      </c>
      <c r="F66" s="324">
        <f>F67</f>
        <v>96.6</v>
      </c>
      <c r="G66" s="331">
        <v>1939</v>
      </c>
      <c r="H66" s="326">
        <f>SUM(Лист1!G25)</f>
        <v>93391.4</v>
      </c>
      <c r="I66" s="326">
        <f>SUM(Лист1!H25)</f>
        <v>16384.38</v>
      </c>
      <c r="J66" s="326">
        <f>SUM(Лист1!I25)</f>
        <v>66.34</v>
      </c>
      <c r="K66" s="327"/>
      <c r="L66" s="327"/>
      <c r="M66" s="327"/>
      <c r="N66" s="327"/>
      <c r="O66" s="327"/>
      <c r="P66" s="327"/>
      <c r="Q66" s="327"/>
      <c r="R66" s="332">
        <f t="shared" si="10"/>
        <v>93391.4</v>
      </c>
      <c r="S66" s="231">
        <f>SUM(I66+O66-J66)</f>
        <v>16318.04</v>
      </c>
      <c r="T66" s="443">
        <f>S66-3*U66</f>
        <v>16119.02</v>
      </c>
      <c r="U66" s="445">
        <f t="shared" si="7"/>
        <v>66.34</v>
      </c>
      <c r="V66" s="443">
        <f t="shared" si="8"/>
        <v>77272.37999999999</v>
      </c>
      <c r="W66" s="328">
        <f t="shared" si="6"/>
        <v>77073.359999999986</v>
      </c>
      <c r="X66" s="231">
        <f t="shared" si="1"/>
        <v>16251.7</v>
      </c>
      <c r="Y66" s="231">
        <f t="shared" si="2"/>
        <v>66.34</v>
      </c>
      <c r="Z66" s="232">
        <f t="shared" si="3"/>
        <v>77139.699999999983</v>
      </c>
      <c r="AA66" s="22">
        <f t="shared" si="0"/>
        <v>0</v>
      </c>
      <c r="AB66" s="424">
        <f t="shared" si="4"/>
        <v>1.4210854715202004E-13</v>
      </c>
      <c r="AC66" s="424">
        <f t="shared" si="5"/>
        <v>1.4551915228366852E-11</v>
      </c>
    </row>
    <row r="67" spans="1:29" s="149" customFormat="1" ht="14.25" customHeight="1" x14ac:dyDescent="0.25">
      <c r="A67" s="163"/>
      <c r="B67" s="167"/>
      <c r="C67" s="146"/>
      <c r="D67" s="161" t="s">
        <v>469</v>
      </c>
      <c r="E67" s="169"/>
      <c r="F67" s="139">
        <v>96.6</v>
      </c>
      <c r="G67" s="249"/>
      <c r="H67" s="148"/>
      <c r="I67" s="148"/>
      <c r="J67" s="148"/>
      <c r="R67" s="211"/>
      <c r="S67" s="211"/>
      <c r="T67" s="443"/>
      <c r="U67" s="445"/>
      <c r="V67" s="443"/>
      <c r="W67" s="212"/>
      <c r="X67" s="231">
        <f t="shared" si="1"/>
        <v>0</v>
      </c>
      <c r="Y67" s="231">
        <f t="shared" si="2"/>
        <v>0</v>
      </c>
      <c r="Z67" s="232">
        <f t="shared" si="3"/>
        <v>0</v>
      </c>
      <c r="AA67" s="22">
        <f t="shared" si="0"/>
        <v>0</v>
      </c>
      <c r="AB67" s="424">
        <f t="shared" si="4"/>
        <v>0</v>
      </c>
      <c r="AC67" s="424">
        <f t="shared" si="5"/>
        <v>0</v>
      </c>
    </row>
    <row r="68" spans="1:29" s="149" customFormat="1" ht="14.25" customHeight="1" x14ac:dyDescent="0.25">
      <c r="A68" s="152"/>
      <c r="B68" s="143"/>
      <c r="C68" s="154"/>
      <c r="D68" s="143"/>
      <c r="E68" s="170"/>
      <c r="F68" s="158"/>
      <c r="G68" s="142"/>
      <c r="H68" s="157"/>
      <c r="I68" s="157"/>
      <c r="J68" s="157"/>
      <c r="K68" s="171"/>
      <c r="L68" s="171"/>
      <c r="M68" s="171"/>
      <c r="N68" s="171"/>
      <c r="O68" s="171"/>
      <c r="P68" s="171"/>
      <c r="Q68" s="171"/>
      <c r="R68" s="213"/>
      <c r="S68" s="213"/>
      <c r="T68" s="443"/>
      <c r="U68" s="445"/>
      <c r="V68" s="443"/>
      <c r="W68" s="214"/>
      <c r="X68" s="231">
        <f t="shared" si="1"/>
        <v>0</v>
      </c>
      <c r="Y68" s="231">
        <f t="shared" si="2"/>
        <v>0</v>
      </c>
      <c r="Z68" s="232">
        <f t="shared" si="3"/>
        <v>0</v>
      </c>
      <c r="AA68" s="22">
        <f t="shared" si="0"/>
        <v>0</v>
      </c>
      <c r="AB68" s="424">
        <f t="shared" si="4"/>
        <v>0</v>
      </c>
      <c r="AC68" s="424">
        <f t="shared" si="5"/>
        <v>0</v>
      </c>
    </row>
    <row r="69" spans="1:29" s="337" customFormat="1" ht="14.25" customHeight="1" x14ac:dyDescent="0.25">
      <c r="A69" s="330">
        <f>SUM(A66+1)</f>
        <v>19</v>
      </c>
      <c r="B69" s="323" t="s">
        <v>57</v>
      </c>
      <c r="C69" s="452">
        <v>73</v>
      </c>
      <c r="D69" s="323" t="s">
        <v>55</v>
      </c>
      <c r="E69" s="456">
        <v>11</v>
      </c>
      <c r="F69" s="351">
        <f>F70</f>
        <v>125.4</v>
      </c>
      <c r="G69" s="325">
        <v>1939</v>
      </c>
      <c r="H69" s="326">
        <f>SUM(Лист1!G26)</f>
        <v>158557.16</v>
      </c>
      <c r="I69" s="326">
        <f>SUM(Лист1!H26)</f>
        <v>24247.87</v>
      </c>
      <c r="J69" s="326">
        <f>SUM(Лист1!I26)</f>
        <v>98.25</v>
      </c>
      <c r="K69" s="327"/>
      <c r="L69" s="327"/>
      <c r="M69" s="327"/>
      <c r="N69" s="327"/>
      <c r="O69" s="327"/>
      <c r="P69" s="327"/>
      <c r="Q69" s="327"/>
      <c r="R69" s="332">
        <f t="shared" si="10"/>
        <v>158557.16</v>
      </c>
      <c r="S69" s="231">
        <f>SUM(I69+O69-J69)</f>
        <v>24149.62</v>
      </c>
      <c r="T69" s="443">
        <f>S69-3*U69</f>
        <v>23854.87</v>
      </c>
      <c r="U69" s="445">
        <f t="shared" si="7"/>
        <v>98.25</v>
      </c>
      <c r="V69" s="443">
        <f t="shared" si="8"/>
        <v>134702.29</v>
      </c>
      <c r="W69" s="332">
        <f t="shared" si="6"/>
        <v>134407.54</v>
      </c>
      <c r="X69" s="231">
        <f t="shared" si="1"/>
        <v>24051.37</v>
      </c>
      <c r="Y69" s="231">
        <f t="shared" si="2"/>
        <v>98.25</v>
      </c>
      <c r="Z69" s="232">
        <f t="shared" si="3"/>
        <v>134505.79</v>
      </c>
      <c r="AA69" s="22">
        <f t="shared" si="0"/>
        <v>0</v>
      </c>
      <c r="AB69" s="424">
        <f t="shared" si="4"/>
        <v>0</v>
      </c>
      <c r="AC69" s="424">
        <f t="shared" si="5"/>
        <v>0</v>
      </c>
    </row>
    <row r="70" spans="1:29" s="149" customFormat="1" ht="14.25" customHeight="1" x14ac:dyDescent="0.25">
      <c r="A70" s="163"/>
      <c r="B70" s="167"/>
      <c r="C70" s="146"/>
      <c r="D70" s="161" t="s">
        <v>469</v>
      </c>
      <c r="E70" s="169"/>
      <c r="F70" s="205">
        <v>125.4</v>
      </c>
      <c r="G70" s="144"/>
      <c r="H70" s="148"/>
      <c r="I70" s="148"/>
      <c r="J70" s="148"/>
      <c r="R70" s="211"/>
      <c r="S70" s="211"/>
      <c r="T70" s="443"/>
      <c r="U70" s="445"/>
      <c r="V70" s="443"/>
      <c r="W70" s="211"/>
      <c r="X70" s="231">
        <f t="shared" si="1"/>
        <v>0</v>
      </c>
      <c r="Y70" s="231">
        <f t="shared" si="2"/>
        <v>0</v>
      </c>
      <c r="Z70" s="232">
        <f t="shared" si="3"/>
        <v>0</v>
      </c>
      <c r="AA70" s="22">
        <f t="shared" si="0"/>
        <v>0</v>
      </c>
      <c r="AB70" s="424">
        <f t="shared" si="4"/>
        <v>0</v>
      </c>
      <c r="AC70" s="424">
        <f t="shared" si="5"/>
        <v>0</v>
      </c>
    </row>
    <row r="71" spans="1:29" s="149" customFormat="1" ht="14.25" customHeight="1" x14ac:dyDescent="0.25">
      <c r="A71" s="152"/>
      <c r="B71" s="143"/>
      <c r="C71" s="154"/>
      <c r="D71" s="143"/>
      <c r="E71" s="170"/>
      <c r="F71" s="206"/>
      <c r="G71" s="156"/>
      <c r="H71" s="157"/>
      <c r="I71" s="157"/>
      <c r="J71" s="157"/>
      <c r="K71" s="171"/>
      <c r="L71" s="171"/>
      <c r="M71" s="171"/>
      <c r="N71" s="171"/>
      <c r="O71" s="171"/>
      <c r="P71" s="171"/>
      <c r="Q71" s="171"/>
      <c r="R71" s="213"/>
      <c r="S71" s="213"/>
      <c r="T71" s="443"/>
      <c r="U71" s="445"/>
      <c r="V71" s="443"/>
      <c r="W71" s="213"/>
      <c r="X71" s="231">
        <f t="shared" si="1"/>
        <v>0</v>
      </c>
      <c r="Y71" s="231">
        <f t="shared" si="2"/>
        <v>0</v>
      </c>
      <c r="Z71" s="232">
        <f t="shared" si="3"/>
        <v>0</v>
      </c>
      <c r="AA71" s="22">
        <f t="shared" si="0"/>
        <v>0</v>
      </c>
      <c r="AB71" s="424">
        <f t="shared" si="4"/>
        <v>0</v>
      </c>
      <c r="AC71" s="424">
        <f t="shared" si="5"/>
        <v>0</v>
      </c>
    </row>
    <row r="72" spans="1:29" s="257" customFormat="1" ht="14.25" customHeight="1" x14ac:dyDescent="0.25">
      <c r="A72" s="330">
        <f>SUM(A69+1)</f>
        <v>20</v>
      </c>
      <c r="B72" s="225" t="s">
        <v>58</v>
      </c>
      <c r="C72" s="226">
        <v>81</v>
      </c>
      <c r="D72" s="225" t="s">
        <v>55</v>
      </c>
      <c r="E72" s="454">
        <v>20</v>
      </c>
      <c r="F72" s="245">
        <f>F73</f>
        <v>78.8</v>
      </c>
      <c r="G72" s="258">
        <v>1939</v>
      </c>
      <c r="H72" s="237">
        <f>SUM(Лист1!G27)</f>
        <v>111507.03</v>
      </c>
      <c r="I72" s="237">
        <f>SUM(Лист1!H27)</f>
        <v>22476.92</v>
      </c>
      <c r="J72" s="237">
        <f>SUM(Лист1!I27)</f>
        <v>91.41</v>
      </c>
      <c r="K72" s="261"/>
      <c r="L72" s="261"/>
      <c r="M72" s="261"/>
      <c r="N72" s="261"/>
      <c r="O72" s="261"/>
      <c r="P72" s="261"/>
      <c r="Q72" s="261"/>
      <c r="R72" s="231">
        <f t="shared" si="10"/>
        <v>111507.03</v>
      </c>
      <c r="S72" s="231">
        <f>SUM(I72+O72-J72)</f>
        <v>22385.51</v>
      </c>
      <c r="T72" s="443">
        <f>S72-3*U72</f>
        <v>22111.279999999999</v>
      </c>
      <c r="U72" s="445">
        <f t="shared" si="7"/>
        <v>91.41</v>
      </c>
      <c r="V72" s="443">
        <f t="shared" si="8"/>
        <v>89395.75</v>
      </c>
      <c r="W72" s="231">
        <f t="shared" si="6"/>
        <v>89121.52</v>
      </c>
      <c r="X72" s="231">
        <f t="shared" si="1"/>
        <v>22294.1</v>
      </c>
      <c r="Y72" s="231">
        <f t="shared" si="2"/>
        <v>91.41</v>
      </c>
      <c r="Z72" s="232">
        <f t="shared" si="3"/>
        <v>89212.930000000008</v>
      </c>
      <c r="AA72" s="22">
        <f t="shared" si="0"/>
        <v>0</v>
      </c>
      <c r="AB72" s="424">
        <f t="shared" si="4"/>
        <v>-1.4210854715202004E-13</v>
      </c>
      <c r="AC72" s="424">
        <f t="shared" si="5"/>
        <v>-1.4551915228366852E-11</v>
      </c>
    </row>
    <row r="73" spans="1:29" s="149" customFormat="1" ht="14.25" customHeight="1" x14ac:dyDescent="0.25">
      <c r="A73" s="163"/>
      <c r="B73" s="167"/>
      <c r="C73" s="146"/>
      <c r="D73" s="161" t="s">
        <v>470</v>
      </c>
      <c r="E73" s="169"/>
      <c r="F73" s="288">
        <v>78.8</v>
      </c>
      <c r="G73" s="144"/>
      <c r="H73" s="148"/>
      <c r="I73" s="148"/>
      <c r="J73" s="148"/>
      <c r="R73" s="211"/>
      <c r="S73" s="211"/>
      <c r="T73" s="443"/>
      <c r="U73" s="445"/>
      <c r="V73" s="443"/>
      <c r="W73" s="211"/>
      <c r="X73" s="231">
        <f t="shared" si="1"/>
        <v>0</v>
      </c>
      <c r="Y73" s="231">
        <f t="shared" si="2"/>
        <v>0</v>
      </c>
      <c r="Z73" s="232">
        <f t="shared" si="3"/>
        <v>0</v>
      </c>
      <c r="AA73" s="22">
        <f t="shared" ref="AA73:AA130" si="11">SUM(U73-Y73)</f>
        <v>0</v>
      </c>
      <c r="AB73" s="424">
        <f t="shared" si="4"/>
        <v>0</v>
      </c>
      <c r="AC73" s="424">
        <f t="shared" si="5"/>
        <v>0</v>
      </c>
    </row>
    <row r="74" spans="1:29" s="149" customFormat="1" ht="14.25" customHeight="1" x14ac:dyDescent="0.25">
      <c r="A74" s="152"/>
      <c r="B74" s="143"/>
      <c r="C74" s="154"/>
      <c r="D74" s="143"/>
      <c r="E74" s="170"/>
      <c r="F74" s="206"/>
      <c r="G74" s="156"/>
      <c r="H74" s="157"/>
      <c r="I74" s="157"/>
      <c r="J74" s="157"/>
      <c r="K74" s="171"/>
      <c r="L74" s="171"/>
      <c r="M74" s="171"/>
      <c r="N74" s="171"/>
      <c r="O74" s="171"/>
      <c r="P74" s="171"/>
      <c r="Q74" s="171"/>
      <c r="R74" s="213"/>
      <c r="S74" s="213"/>
      <c r="T74" s="443"/>
      <c r="U74" s="445"/>
      <c r="V74" s="443"/>
      <c r="W74" s="213"/>
      <c r="X74" s="231">
        <f t="shared" ref="X74:X131" si="12">SUM(S74-U74)</f>
        <v>0</v>
      </c>
      <c r="Y74" s="231">
        <f t="shared" ref="Y74:Y131" si="13">SUM(U74)</f>
        <v>0</v>
      </c>
      <c r="Z74" s="232">
        <f t="shared" ref="Z74:Z131" si="14">SUM(U74+W74)</f>
        <v>0</v>
      </c>
      <c r="AA74" s="22">
        <f t="shared" si="11"/>
        <v>0</v>
      </c>
      <c r="AB74" s="424">
        <f t="shared" ref="AB74:AB131" si="15">SUM(S74-X74-U74)</f>
        <v>0</v>
      </c>
      <c r="AC74" s="424">
        <f t="shared" ref="AC74:AC131" si="16">SUM(R74-X74-Z74)</f>
        <v>0</v>
      </c>
    </row>
    <row r="75" spans="1:29" s="257" customFormat="1" ht="14.25" customHeight="1" x14ac:dyDescent="0.25">
      <c r="A75" s="224">
        <f>SUM(A72+1)</f>
        <v>21</v>
      </c>
      <c r="B75" s="225" t="s">
        <v>59</v>
      </c>
      <c r="C75" s="226">
        <v>82</v>
      </c>
      <c r="D75" s="225" t="s">
        <v>55</v>
      </c>
      <c r="E75" s="454">
        <v>22</v>
      </c>
      <c r="F75" s="245">
        <f>F76</f>
        <v>68</v>
      </c>
      <c r="G75" s="258">
        <v>1939</v>
      </c>
      <c r="H75" s="237">
        <f>SUM(Лист1!G28)</f>
        <v>116830.85</v>
      </c>
      <c r="I75" s="237">
        <f>SUM(Лист1!H28)</f>
        <v>21048.65</v>
      </c>
      <c r="J75" s="237">
        <f>SUM(Лист1!I28)</f>
        <v>85.41</v>
      </c>
      <c r="K75" s="261"/>
      <c r="L75" s="261"/>
      <c r="M75" s="261"/>
      <c r="N75" s="261"/>
      <c r="O75" s="261"/>
      <c r="P75" s="261"/>
      <c r="Q75" s="261"/>
      <c r="R75" s="231">
        <f t="shared" si="10"/>
        <v>116830.85</v>
      </c>
      <c r="S75" s="231">
        <f>SUM(I75+O75-J75)</f>
        <v>20963.240000000002</v>
      </c>
      <c r="T75" s="443">
        <f>S75-3*U75</f>
        <v>20707.010000000002</v>
      </c>
      <c r="U75" s="445">
        <f t="shared" si="7"/>
        <v>85.41</v>
      </c>
      <c r="V75" s="443">
        <f t="shared" si="8"/>
        <v>96123.839999999997</v>
      </c>
      <c r="W75" s="231">
        <f t="shared" si="6"/>
        <v>95867.61</v>
      </c>
      <c r="X75" s="231">
        <f t="shared" si="12"/>
        <v>20877.830000000002</v>
      </c>
      <c r="Y75" s="231">
        <f t="shared" si="13"/>
        <v>85.41</v>
      </c>
      <c r="Z75" s="232">
        <f t="shared" si="14"/>
        <v>95953.02</v>
      </c>
      <c r="AA75" s="22">
        <f t="shared" si="11"/>
        <v>0</v>
      </c>
      <c r="AB75" s="424">
        <f t="shared" si="15"/>
        <v>-1.4210854715202004E-13</v>
      </c>
      <c r="AC75" s="424">
        <f t="shared" si="16"/>
        <v>0</v>
      </c>
    </row>
    <row r="76" spans="1:29" s="149" customFormat="1" ht="14.25" customHeight="1" x14ac:dyDescent="0.25">
      <c r="A76" s="163"/>
      <c r="B76" s="167"/>
      <c r="C76" s="146"/>
      <c r="D76" s="161" t="s">
        <v>470</v>
      </c>
      <c r="E76" s="169"/>
      <c r="F76" s="205">
        <v>68</v>
      </c>
      <c r="G76" s="144"/>
      <c r="H76" s="148"/>
      <c r="I76" s="148"/>
      <c r="J76" s="148"/>
      <c r="R76" s="211"/>
      <c r="S76" s="211"/>
      <c r="T76" s="443"/>
      <c r="U76" s="445"/>
      <c r="V76" s="443"/>
      <c r="W76" s="211"/>
      <c r="X76" s="231">
        <f t="shared" si="12"/>
        <v>0</v>
      </c>
      <c r="Y76" s="231">
        <f t="shared" si="13"/>
        <v>0</v>
      </c>
      <c r="Z76" s="232">
        <f t="shared" si="14"/>
        <v>0</v>
      </c>
      <c r="AA76" s="22">
        <f t="shared" si="11"/>
        <v>0</v>
      </c>
      <c r="AB76" s="424">
        <f t="shared" si="15"/>
        <v>0</v>
      </c>
      <c r="AC76" s="424">
        <f t="shared" si="16"/>
        <v>0</v>
      </c>
    </row>
    <row r="77" spans="1:29" s="149" customFormat="1" ht="14.25" customHeight="1" x14ac:dyDescent="0.25">
      <c r="A77" s="152"/>
      <c r="B77" s="143"/>
      <c r="C77" s="154"/>
      <c r="D77" s="143"/>
      <c r="E77" s="170"/>
      <c r="F77" s="206"/>
      <c r="G77" s="156"/>
      <c r="H77" s="157"/>
      <c r="I77" s="157"/>
      <c r="J77" s="157"/>
      <c r="K77" s="171"/>
      <c r="L77" s="171"/>
      <c r="M77" s="171"/>
      <c r="N77" s="171"/>
      <c r="O77" s="171"/>
      <c r="P77" s="171"/>
      <c r="Q77" s="171"/>
      <c r="R77" s="213"/>
      <c r="S77" s="213"/>
      <c r="T77" s="443"/>
      <c r="U77" s="445"/>
      <c r="V77" s="443"/>
      <c r="W77" s="213"/>
      <c r="X77" s="231">
        <f t="shared" si="12"/>
        <v>0</v>
      </c>
      <c r="Y77" s="231">
        <f t="shared" si="13"/>
        <v>0</v>
      </c>
      <c r="Z77" s="232">
        <f t="shared" si="14"/>
        <v>0</v>
      </c>
      <c r="AA77" s="22">
        <f t="shared" si="11"/>
        <v>0</v>
      </c>
      <c r="AB77" s="424">
        <f t="shared" si="15"/>
        <v>0</v>
      </c>
      <c r="AC77" s="424">
        <f t="shared" si="16"/>
        <v>0</v>
      </c>
    </row>
    <row r="78" spans="1:29" s="257" customFormat="1" ht="14.25" customHeight="1" x14ac:dyDescent="0.25">
      <c r="A78" s="224">
        <f>SUM(A75+1)</f>
        <v>22</v>
      </c>
      <c r="B78" s="225" t="s">
        <v>60</v>
      </c>
      <c r="C78" s="226">
        <v>83</v>
      </c>
      <c r="D78" s="225" t="s">
        <v>55</v>
      </c>
      <c r="E78" s="251">
        <v>23</v>
      </c>
      <c r="F78" s="245">
        <f>F79</f>
        <v>73.599999999999994</v>
      </c>
      <c r="G78" s="258">
        <v>1872</v>
      </c>
      <c r="H78" s="237">
        <f>SUM(Лист1!G29)</f>
        <v>95841.99</v>
      </c>
      <c r="I78" s="237">
        <f>SUM(Лист1!H29)</f>
        <v>11325.02</v>
      </c>
      <c r="J78" s="237">
        <f>SUM(Лист1!I29)</f>
        <v>81.709999999999994</v>
      </c>
      <c r="K78" s="261"/>
      <c r="L78" s="261"/>
      <c r="M78" s="261"/>
      <c r="N78" s="261"/>
      <c r="O78" s="261"/>
      <c r="P78" s="261"/>
      <c r="Q78" s="261"/>
      <c r="R78" s="231">
        <f t="shared" si="10"/>
        <v>95841.99</v>
      </c>
      <c r="S78" s="231">
        <f>SUM(I78+O78-J78)</f>
        <v>11243.310000000001</v>
      </c>
      <c r="T78" s="443">
        <f>S78-3*U78</f>
        <v>10998.180000000002</v>
      </c>
      <c r="U78" s="445">
        <f t="shared" si="7"/>
        <v>81.709999999999994</v>
      </c>
      <c r="V78" s="443">
        <f t="shared" si="8"/>
        <v>84843.81</v>
      </c>
      <c r="W78" s="238">
        <f t="shared" si="6"/>
        <v>84598.680000000008</v>
      </c>
      <c r="X78" s="231">
        <f t="shared" si="12"/>
        <v>11161.600000000002</v>
      </c>
      <c r="Y78" s="231">
        <f t="shared" si="13"/>
        <v>81.709999999999994</v>
      </c>
      <c r="Z78" s="232">
        <f t="shared" si="14"/>
        <v>84680.390000000014</v>
      </c>
      <c r="AA78" s="22">
        <f t="shared" si="11"/>
        <v>0</v>
      </c>
      <c r="AB78" s="424">
        <f t="shared" si="15"/>
        <v>-8.6686213762732223E-13</v>
      </c>
      <c r="AC78" s="424">
        <f t="shared" si="16"/>
        <v>-1.4551915228366852E-11</v>
      </c>
    </row>
    <row r="79" spans="1:29" s="149" customFormat="1" ht="14.25" customHeight="1" x14ac:dyDescent="0.25">
      <c r="A79" s="163"/>
      <c r="B79" s="167"/>
      <c r="C79" s="146"/>
      <c r="D79" s="161" t="s">
        <v>470</v>
      </c>
      <c r="E79" s="147"/>
      <c r="F79" s="205">
        <v>73.599999999999994</v>
      </c>
      <c r="G79" s="144"/>
      <c r="H79" s="148"/>
      <c r="I79" s="148"/>
      <c r="J79" s="148"/>
      <c r="R79" s="211"/>
      <c r="S79" s="211"/>
      <c r="T79" s="443"/>
      <c r="U79" s="445"/>
      <c r="V79" s="443"/>
      <c r="W79" s="212"/>
      <c r="X79" s="231">
        <f t="shared" si="12"/>
        <v>0</v>
      </c>
      <c r="Y79" s="231">
        <f t="shared" si="13"/>
        <v>0</v>
      </c>
      <c r="Z79" s="232">
        <f t="shared" si="14"/>
        <v>0</v>
      </c>
      <c r="AA79" s="22">
        <f t="shared" si="11"/>
        <v>0</v>
      </c>
      <c r="AB79" s="424">
        <f t="shared" si="15"/>
        <v>0</v>
      </c>
      <c r="AC79" s="424">
        <f t="shared" si="16"/>
        <v>0</v>
      </c>
    </row>
    <row r="80" spans="1:29" s="149" customFormat="1" ht="14.25" customHeight="1" x14ac:dyDescent="0.25">
      <c r="A80" s="152"/>
      <c r="B80" s="143"/>
      <c r="C80" s="154"/>
      <c r="D80" s="162"/>
      <c r="E80" s="155"/>
      <c r="F80" s="206"/>
      <c r="G80" s="156"/>
      <c r="H80" s="157"/>
      <c r="I80" s="157"/>
      <c r="J80" s="157"/>
      <c r="K80" s="171"/>
      <c r="L80" s="171"/>
      <c r="M80" s="171"/>
      <c r="N80" s="171"/>
      <c r="O80" s="171"/>
      <c r="P80" s="171"/>
      <c r="Q80" s="171"/>
      <c r="R80" s="213"/>
      <c r="S80" s="213"/>
      <c r="T80" s="443"/>
      <c r="U80" s="445"/>
      <c r="V80" s="443"/>
      <c r="W80" s="214"/>
      <c r="X80" s="231">
        <f t="shared" si="12"/>
        <v>0</v>
      </c>
      <c r="Y80" s="231">
        <f t="shared" si="13"/>
        <v>0</v>
      </c>
      <c r="Z80" s="232">
        <f t="shared" si="14"/>
        <v>0</v>
      </c>
      <c r="AA80" s="22">
        <f t="shared" si="11"/>
        <v>0</v>
      </c>
      <c r="AB80" s="424">
        <f t="shared" si="15"/>
        <v>0</v>
      </c>
      <c r="AC80" s="424">
        <f t="shared" si="16"/>
        <v>0</v>
      </c>
    </row>
    <row r="81" spans="1:29" s="257" customFormat="1" ht="14.25" customHeight="1" x14ac:dyDescent="0.25">
      <c r="A81" s="224">
        <f>SUM(A78+1)</f>
        <v>23</v>
      </c>
      <c r="B81" s="225" t="s">
        <v>61</v>
      </c>
      <c r="C81" s="226">
        <v>84</v>
      </c>
      <c r="D81" s="225" t="s">
        <v>55</v>
      </c>
      <c r="E81" s="251">
        <v>24</v>
      </c>
      <c r="F81" s="245">
        <v>42.6</v>
      </c>
      <c r="G81" s="248">
        <v>1939</v>
      </c>
      <c r="H81" s="237">
        <f>SUM(Лист1!G30)</f>
        <v>55398.93</v>
      </c>
      <c r="I81" s="237">
        <f>SUM(Лист1!H30)</f>
        <v>9689.73</v>
      </c>
      <c r="J81" s="237">
        <f>SUM(Лист1!I30)</f>
        <v>41.28</v>
      </c>
      <c r="K81" s="261"/>
      <c r="L81" s="261"/>
      <c r="M81" s="261"/>
      <c r="N81" s="261"/>
      <c r="O81" s="261"/>
      <c r="P81" s="261"/>
      <c r="Q81" s="261"/>
      <c r="R81" s="231">
        <f t="shared" si="10"/>
        <v>55398.93</v>
      </c>
      <c r="S81" s="231">
        <f>SUM(I81+O81-J81)</f>
        <v>9648.4499999999989</v>
      </c>
      <c r="T81" s="443">
        <f>S81-3*U81</f>
        <v>9524.6099999999988</v>
      </c>
      <c r="U81" s="445">
        <f t="shared" ref="U81:U141" si="17">J81+P81</f>
        <v>41.28</v>
      </c>
      <c r="V81" s="443">
        <f t="shared" ref="V81:V141" si="18">R81-T81</f>
        <v>45874.32</v>
      </c>
      <c r="W81" s="238">
        <f t="shared" si="6"/>
        <v>45750.48</v>
      </c>
      <c r="X81" s="231">
        <f t="shared" si="12"/>
        <v>9607.1699999999983</v>
      </c>
      <c r="Y81" s="231">
        <f t="shared" si="13"/>
        <v>41.28</v>
      </c>
      <c r="Z81" s="232">
        <f t="shared" si="14"/>
        <v>45791.76</v>
      </c>
      <c r="AA81" s="22">
        <f t="shared" si="11"/>
        <v>0</v>
      </c>
      <c r="AB81" s="424">
        <f t="shared" si="15"/>
        <v>6.5369931689929217E-13</v>
      </c>
      <c r="AC81" s="424">
        <f t="shared" si="16"/>
        <v>0</v>
      </c>
    </row>
    <row r="82" spans="1:29" s="149" customFormat="1" ht="14.25" customHeight="1" x14ac:dyDescent="0.25">
      <c r="A82" s="163"/>
      <c r="B82" s="167"/>
      <c r="C82" s="146"/>
      <c r="D82" s="161" t="s">
        <v>470</v>
      </c>
      <c r="E82" s="147"/>
      <c r="F82" s="205">
        <v>42.6</v>
      </c>
      <c r="G82" s="249"/>
      <c r="H82" s="148"/>
      <c r="I82" s="148"/>
      <c r="J82" s="148"/>
      <c r="R82" s="211"/>
      <c r="S82" s="211"/>
      <c r="T82" s="443"/>
      <c r="U82" s="445"/>
      <c r="V82" s="443"/>
      <c r="W82" s="212"/>
      <c r="X82" s="231">
        <f t="shared" si="12"/>
        <v>0</v>
      </c>
      <c r="Y82" s="231">
        <f t="shared" si="13"/>
        <v>0</v>
      </c>
      <c r="Z82" s="232">
        <f t="shared" si="14"/>
        <v>0</v>
      </c>
      <c r="AA82" s="22">
        <f t="shared" si="11"/>
        <v>0</v>
      </c>
      <c r="AB82" s="424">
        <f t="shared" si="15"/>
        <v>0</v>
      </c>
      <c r="AC82" s="424">
        <f t="shared" si="16"/>
        <v>0</v>
      </c>
    </row>
    <row r="83" spans="1:29" s="149" customFormat="1" ht="14.25" customHeight="1" x14ac:dyDescent="0.25">
      <c r="A83" s="152"/>
      <c r="B83" s="143"/>
      <c r="C83" s="154"/>
      <c r="D83" s="143"/>
      <c r="E83" s="155"/>
      <c r="F83" s="206"/>
      <c r="G83" s="142"/>
      <c r="H83" s="157"/>
      <c r="I83" s="157"/>
      <c r="J83" s="157"/>
      <c r="K83" s="171"/>
      <c r="L83" s="171"/>
      <c r="M83" s="171"/>
      <c r="N83" s="171"/>
      <c r="O83" s="171"/>
      <c r="P83" s="171"/>
      <c r="Q83" s="171"/>
      <c r="R83" s="213"/>
      <c r="S83" s="213"/>
      <c r="T83" s="443"/>
      <c r="U83" s="445"/>
      <c r="V83" s="443"/>
      <c r="W83" s="214"/>
      <c r="X83" s="231">
        <f t="shared" si="12"/>
        <v>0</v>
      </c>
      <c r="Y83" s="231">
        <f t="shared" si="13"/>
        <v>0</v>
      </c>
      <c r="Z83" s="232">
        <f t="shared" si="14"/>
        <v>0</v>
      </c>
      <c r="AA83" s="22">
        <f t="shared" si="11"/>
        <v>0</v>
      </c>
      <c r="AB83" s="424">
        <f t="shared" si="15"/>
        <v>0</v>
      </c>
      <c r="AC83" s="424">
        <f t="shared" si="16"/>
        <v>0</v>
      </c>
    </row>
    <row r="84" spans="1:29" s="257" customFormat="1" ht="14.25" customHeight="1" x14ac:dyDescent="0.25">
      <c r="A84" s="224">
        <f>SUM(A81+1)</f>
        <v>24</v>
      </c>
      <c r="B84" s="225" t="s">
        <v>62</v>
      </c>
      <c r="C84" s="226">
        <v>110</v>
      </c>
      <c r="D84" s="225" t="s">
        <v>28</v>
      </c>
      <c r="E84" s="251">
        <v>11</v>
      </c>
      <c r="F84" s="245">
        <v>46.5</v>
      </c>
      <c r="G84" s="248">
        <v>1915</v>
      </c>
      <c r="H84" s="237">
        <f>SUM(Лист1!G31)</f>
        <v>77227.16</v>
      </c>
      <c r="I84" s="237">
        <f>SUM(Лист1!H31)</f>
        <v>13907.27</v>
      </c>
      <c r="J84" s="237">
        <f>SUM(Лист1!I31)</f>
        <v>96.25</v>
      </c>
      <c r="K84" s="261"/>
      <c r="L84" s="261"/>
      <c r="M84" s="261"/>
      <c r="N84" s="261"/>
      <c r="O84" s="261"/>
      <c r="P84" s="261"/>
      <c r="Q84" s="261"/>
      <c r="R84" s="231">
        <f t="shared" si="10"/>
        <v>77227.16</v>
      </c>
      <c r="S84" s="231">
        <f>SUM(I84+O84-J84)</f>
        <v>13811.02</v>
      </c>
      <c r="T84" s="443">
        <f>S84-3*U84</f>
        <v>13522.27</v>
      </c>
      <c r="U84" s="445">
        <f t="shared" si="17"/>
        <v>96.25</v>
      </c>
      <c r="V84" s="443">
        <f t="shared" si="18"/>
        <v>63704.89</v>
      </c>
      <c r="W84" s="238">
        <f t="shared" si="6"/>
        <v>63416.14</v>
      </c>
      <c r="X84" s="231">
        <f t="shared" si="12"/>
        <v>13714.77</v>
      </c>
      <c r="Y84" s="231">
        <f t="shared" si="13"/>
        <v>96.25</v>
      </c>
      <c r="Z84" s="232">
        <f t="shared" si="14"/>
        <v>63512.39</v>
      </c>
      <c r="AA84" s="22">
        <f t="shared" si="11"/>
        <v>0</v>
      </c>
      <c r="AB84" s="424">
        <f t="shared" si="15"/>
        <v>0</v>
      </c>
      <c r="AC84" s="424">
        <f t="shared" si="16"/>
        <v>0</v>
      </c>
    </row>
    <row r="85" spans="1:29" s="149" customFormat="1" ht="14.25" customHeight="1" x14ac:dyDescent="0.25">
      <c r="A85" s="163"/>
      <c r="B85" s="167"/>
      <c r="C85" s="146"/>
      <c r="D85" s="161" t="s">
        <v>473</v>
      </c>
      <c r="E85" s="147"/>
      <c r="F85" s="205">
        <v>46.5</v>
      </c>
      <c r="G85" s="249"/>
      <c r="H85" s="148"/>
      <c r="I85" s="148"/>
      <c r="J85" s="148"/>
      <c r="R85" s="211"/>
      <c r="S85" s="211"/>
      <c r="T85" s="443"/>
      <c r="U85" s="445"/>
      <c r="V85" s="443"/>
      <c r="W85" s="212"/>
      <c r="X85" s="231">
        <f t="shared" si="12"/>
        <v>0</v>
      </c>
      <c r="Y85" s="231">
        <f t="shared" si="13"/>
        <v>0</v>
      </c>
      <c r="Z85" s="232">
        <f t="shared" si="14"/>
        <v>0</v>
      </c>
      <c r="AA85" s="22">
        <f t="shared" si="11"/>
        <v>0</v>
      </c>
      <c r="AB85" s="424">
        <f t="shared" si="15"/>
        <v>0</v>
      </c>
      <c r="AC85" s="424">
        <f t="shared" si="16"/>
        <v>0</v>
      </c>
    </row>
    <row r="86" spans="1:29" s="149" customFormat="1" ht="14.25" customHeight="1" x14ac:dyDescent="0.25">
      <c r="A86" s="152"/>
      <c r="B86" s="143"/>
      <c r="C86" s="154"/>
      <c r="D86" s="143"/>
      <c r="E86" s="155"/>
      <c r="F86" s="206"/>
      <c r="G86" s="142"/>
      <c r="H86" s="157"/>
      <c r="I86" s="157"/>
      <c r="J86" s="157"/>
      <c r="K86" s="171"/>
      <c r="L86" s="171"/>
      <c r="M86" s="171"/>
      <c r="N86" s="171"/>
      <c r="O86" s="171"/>
      <c r="P86" s="171"/>
      <c r="Q86" s="171"/>
      <c r="R86" s="213"/>
      <c r="S86" s="213"/>
      <c r="T86" s="443"/>
      <c r="U86" s="445"/>
      <c r="V86" s="443"/>
      <c r="W86" s="214"/>
      <c r="X86" s="231">
        <f t="shared" si="12"/>
        <v>0</v>
      </c>
      <c r="Y86" s="231">
        <f t="shared" si="13"/>
        <v>0</v>
      </c>
      <c r="Z86" s="232">
        <f t="shared" si="14"/>
        <v>0</v>
      </c>
      <c r="AA86" s="22">
        <f t="shared" si="11"/>
        <v>0</v>
      </c>
      <c r="AB86" s="424">
        <f t="shared" si="15"/>
        <v>0</v>
      </c>
      <c r="AC86" s="424">
        <f t="shared" si="16"/>
        <v>0</v>
      </c>
    </row>
    <row r="87" spans="1:29" s="257" customFormat="1" ht="14.25" customHeight="1" x14ac:dyDescent="0.25">
      <c r="A87" s="224">
        <f>SUM(A84+1)</f>
        <v>25</v>
      </c>
      <c r="B87" s="225" t="s">
        <v>63</v>
      </c>
      <c r="C87" s="226">
        <v>113</v>
      </c>
      <c r="D87" s="225" t="s">
        <v>33</v>
      </c>
      <c r="E87" s="251">
        <v>10</v>
      </c>
      <c r="F87" s="245">
        <v>31.6</v>
      </c>
      <c r="G87" s="258">
        <v>1883</v>
      </c>
      <c r="H87" s="237">
        <f>SUM(Лист1!G32)</f>
        <v>47224.800000000003</v>
      </c>
      <c r="I87" s="237">
        <f>SUM(Лист1!H32)</f>
        <v>4807.8</v>
      </c>
      <c r="J87" s="237">
        <f>SUM(Лист1!I32)</f>
        <v>32.43</v>
      </c>
      <c r="K87" s="261"/>
      <c r="L87" s="261"/>
      <c r="M87" s="261"/>
      <c r="N87" s="261"/>
      <c r="O87" s="261"/>
      <c r="P87" s="261"/>
      <c r="Q87" s="261"/>
      <c r="R87" s="231">
        <f t="shared" si="10"/>
        <v>47224.800000000003</v>
      </c>
      <c r="S87" s="231">
        <f>SUM(I87+O87-J87)</f>
        <v>4775.37</v>
      </c>
      <c r="T87" s="443">
        <f>S87-3*U87</f>
        <v>4678.08</v>
      </c>
      <c r="U87" s="445">
        <f t="shared" si="17"/>
        <v>32.43</v>
      </c>
      <c r="V87" s="443">
        <f t="shared" si="18"/>
        <v>42546.720000000001</v>
      </c>
      <c r="W87" s="238">
        <f t="shared" si="6"/>
        <v>42449.43</v>
      </c>
      <c r="X87" s="231">
        <f t="shared" si="12"/>
        <v>4742.9399999999996</v>
      </c>
      <c r="Y87" s="231">
        <f t="shared" si="13"/>
        <v>32.43</v>
      </c>
      <c r="Z87" s="232">
        <f t="shared" si="14"/>
        <v>42481.86</v>
      </c>
      <c r="AA87" s="22">
        <f t="shared" si="11"/>
        <v>0</v>
      </c>
      <c r="AB87" s="424">
        <f t="shared" si="15"/>
        <v>2.9132252166164108E-13</v>
      </c>
      <c r="AC87" s="424">
        <f t="shared" si="16"/>
        <v>0</v>
      </c>
    </row>
    <row r="88" spans="1:29" s="149" customFormat="1" ht="14.25" customHeight="1" x14ac:dyDescent="0.25">
      <c r="A88" s="163"/>
      <c r="B88" s="167"/>
      <c r="C88" s="146"/>
      <c r="D88" s="161" t="s">
        <v>473</v>
      </c>
      <c r="E88" s="147"/>
      <c r="F88" s="205">
        <v>31.6</v>
      </c>
      <c r="G88" s="144"/>
      <c r="H88" s="148"/>
      <c r="I88" s="148"/>
      <c r="J88" s="148"/>
      <c r="R88" s="211"/>
      <c r="S88" s="211"/>
      <c r="T88" s="443"/>
      <c r="U88" s="445"/>
      <c r="V88" s="443"/>
      <c r="W88" s="212"/>
      <c r="X88" s="231">
        <f t="shared" si="12"/>
        <v>0</v>
      </c>
      <c r="Y88" s="231">
        <f t="shared" si="13"/>
        <v>0</v>
      </c>
      <c r="Z88" s="232">
        <f t="shared" si="14"/>
        <v>0</v>
      </c>
      <c r="AA88" s="22">
        <f t="shared" si="11"/>
        <v>0</v>
      </c>
      <c r="AB88" s="424">
        <f t="shared" si="15"/>
        <v>0</v>
      </c>
      <c r="AC88" s="424">
        <f t="shared" si="16"/>
        <v>0</v>
      </c>
    </row>
    <row r="89" spans="1:29" s="149" customFormat="1" ht="14.25" customHeight="1" x14ac:dyDescent="0.25">
      <c r="A89" s="152"/>
      <c r="B89" s="143"/>
      <c r="C89" s="154"/>
      <c r="D89" s="143"/>
      <c r="E89" s="155"/>
      <c r="F89" s="206"/>
      <c r="G89" s="156"/>
      <c r="H89" s="157"/>
      <c r="I89" s="157"/>
      <c r="J89" s="157"/>
      <c r="K89" s="171"/>
      <c r="L89" s="171"/>
      <c r="M89" s="171"/>
      <c r="N89" s="171"/>
      <c r="O89" s="171"/>
      <c r="P89" s="171"/>
      <c r="Q89" s="171"/>
      <c r="R89" s="213"/>
      <c r="S89" s="213"/>
      <c r="T89" s="443"/>
      <c r="U89" s="445"/>
      <c r="V89" s="443"/>
      <c r="W89" s="214"/>
      <c r="X89" s="231">
        <f t="shared" si="12"/>
        <v>0</v>
      </c>
      <c r="Y89" s="231">
        <f t="shared" si="13"/>
        <v>0</v>
      </c>
      <c r="Z89" s="232">
        <f t="shared" si="14"/>
        <v>0</v>
      </c>
      <c r="AA89" s="22">
        <f t="shared" si="11"/>
        <v>0</v>
      </c>
      <c r="AB89" s="424">
        <f t="shared" si="15"/>
        <v>0</v>
      </c>
      <c r="AC89" s="424">
        <f t="shared" si="16"/>
        <v>0</v>
      </c>
    </row>
    <row r="90" spans="1:29" s="286" customFormat="1" ht="14.25" customHeight="1" x14ac:dyDescent="0.25">
      <c r="A90" s="367">
        <f>SUM(A87+1)</f>
        <v>26</v>
      </c>
      <c r="B90" s="360" t="s">
        <v>64</v>
      </c>
      <c r="C90" s="397">
        <v>121</v>
      </c>
      <c r="D90" s="360" t="s">
        <v>65</v>
      </c>
      <c r="E90" s="490">
        <v>3</v>
      </c>
      <c r="F90" s="369">
        <v>63.1</v>
      </c>
      <c r="G90" s="362">
        <v>1939</v>
      </c>
      <c r="H90" s="363">
        <f>SUM(Лист1!G33)</f>
        <v>67567.8</v>
      </c>
      <c r="I90" s="363">
        <f>SUM(Лист1!H33)</f>
        <v>79001.009999999995</v>
      </c>
      <c r="J90" s="363">
        <f>SUM(Лист1!I33)</f>
        <v>46.77</v>
      </c>
      <c r="K90" s="364"/>
      <c r="L90" s="364"/>
      <c r="M90" s="364"/>
      <c r="N90" s="364"/>
      <c r="O90" s="364"/>
      <c r="P90" s="364"/>
      <c r="Q90" s="364"/>
      <c r="R90" s="371">
        <f t="shared" si="10"/>
        <v>67567.8</v>
      </c>
      <c r="S90" s="371">
        <f>SUM(I90+O90-J90)</f>
        <v>78954.239999999991</v>
      </c>
      <c r="T90" s="443">
        <f>S90-3*U90</f>
        <v>78813.929999999993</v>
      </c>
      <c r="U90" s="365">
        <f t="shared" si="17"/>
        <v>46.77</v>
      </c>
      <c r="V90" s="491">
        <f t="shared" si="18"/>
        <v>-11246.12999999999</v>
      </c>
      <c r="W90" s="371">
        <f t="shared" si="6"/>
        <v>-11386.439999999988</v>
      </c>
      <c r="X90" s="371">
        <f t="shared" si="12"/>
        <v>78907.469999999987</v>
      </c>
      <c r="Y90" s="371">
        <f t="shared" si="13"/>
        <v>46.77</v>
      </c>
      <c r="Z90" s="492">
        <f t="shared" si="14"/>
        <v>-11339.669999999987</v>
      </c>
      <c r="AA90" s="493">
        <f t="shared" si="11"/>
        <v>0</v>
      </c>
      <c r="AB90" s="494">
        <f t="shared" si="15"/>
        <v>4.0714098759053741E-12</v>
      </c>
      <c r="AC90" s="494">
        <f t="shared" si="16"/>
        <v>3.637978807091713E-12</v>
      </c>
    </row>
    <row r="91" spans="1:29" s="285" customFormat="1" ht="14.25" customHeight="1" x14ac:dyDescent="0.25">
      <c r="A91" s="366"/>
      <c r="B91" s="368"/>
      <c r="C91" s="283"/>
      <c r="D91" s="368" t="s">
        <v>478</v>
      </c>
      <c r="E91" s="495"/>
      <c r="F91" s="288">
        <v>63.1</v>
      </c>
      <c r="G91" s="282"/>
      <c r="H91" s="284"/>
      <c r="I91" s="284"/>
      <c r="J91" s="284"/>
      <c r="R91" s="372"/>
      <c r="S91" s="372"/>
      <c r="T91" s="491"/>
      <c r="U91" s="365"/>
      <c r="V91" s="491"/>
      <c r="W91" s="372"/>
      <c r="X91" s="371">
        <f t="shared" si="12"/>
        <v>0</v>
      </c>
      <c r="Y91" s="371">
        <f t="shared" si="13"/>
        <v>0</v>
      </c>
      <c r="Z91" s="492">
        <f t="shared" si="14"/>
        <v>0</v>
      </c>
      <c r="AA91" s="493">
        <f t="shared" si="11"/>
        <v>0</v>
      </c>
      <c r="AB91" s="494">
        <f t="shared" si="15"/>
        <v>0</v>
      </c>
      <c r="AC91" s="494">
        <f t="shared" si="16"/>
        <v>0</v>
      </c>
    </row>
    <row r="92" spans="1:29" s="285" customFormat="1" ht="14.25" customHeight="1" x14ac:dyDescent="0.25">
      <c r="A92" s="496"/>
      <c r="B92" s="497"/>
      <c r="C92" s="498"/>
      <c r="D92" s="497"/>
      <c r="E92" s="499"/>
      <c r="F92" s="500"/>
      <c r="G92" s="501"/>
      <c r="H92" s="446"/>
      <c r="I92" s="446"/>
      <c r="J92" s="446"/>
      <c r="K92" s="502"/>
      <c r="L92" s="502"/>
      <c r="M92" s="502"/>
      <c r="N92" s="502"/>
      <c r="O92" s="502"/>
      <c r="P92" s="502"/>
      <c r="Q92" s="502"/>
      <c r="R92" s="503"/>
      <c r="S92" s="503"/>
      <c r="T92" s="491"/>
      <c r="U92" s="365"/>
      <c r="V92" s="491"/>
      <c r="W92" s="503"/>
      <c r="X92" s="371">
        <f t="shared" si="12"/>
        <v>0</v>
      </c>
      <c r="Y92" s="371">
        <f t="shared" si="13"/>
        <v>0</v>
      </c>
      <c r="Z92" s="492">
        <f t="shared" si="14"/>
        <v>0</v>
      </c>
      <c r="AA92" s="493">
        <f t="shared" si="11"/>
        <v>0</v>
      </c>
      <c r="AB92" s="494">
        <f t="shared" si="15"/>
        <v>0</v>
      </c>
      <c r="AC92" s="494">
        <f t="shared" si="16"/>
        <v>0</v>
      </c>
    </row>
    <row r="93" spans="1:29" s="257" customFormat="1" ht="14.25" customHeight="1" x14ac:dyDescent="0.25">
      <c r="A93" s="224">
        <f>SUM(A90+1)</f>
        <v>27</v>
      </c>
      <c r="B93" s="225" t="s">
        <v>66</v>
      </c>
      <c r="C93" s="226">
        <v>126</v>
      </c>
      <c r="D93" s="225" t="s">
        <v>65</v>
      </c>
      <c r="E93" s="251">
        <v>24</v>
      </c>
      <c r="F93" s="245">
        <v>34.96</v>
      </c>
      <c r="G93" s="258">
        <v>1939</v>
      </c>
      <c r="H93" s="237">
        <f>SUM(Лист1!G34)</f>
        <v>78455.820000000007</v>
      </c>
      <c r="I93" s="237">
        <f>SUM(Лист1!H34)</f>
        <v>11927.84</v>
      </c>
      <c r="J93" s="237">
        <f>SUM(Лист1!I34)</f>
        <v>48.34</v>
      </c>
      <c r="K93" s="261"/>
      <c r="L93" s="261"/>
      <c r="M93" s="261"/>
      <c r="N93" s="261"/>
      <c r="O93" s="261"/>
      <c r="P93" s="261"/>
      <c r="Q93" s="261"/>
      <c r="R93" s="231">
        <f t="shared" si="10"/>
        <v>78455.820000000007</v>
      </c>
      <c r="S93" s="231">
        <f>SUM(I93+O93-J93)</f>
        <v>11879.5</v>
      </c>
      <c r="T93" s="443">
        <f>S93-3*U93</f>
        <v>11734.48</v>
      </c>
      <c r="U93" s="445">
        <f t="shared" si="17"/>
        <v>48.34</v>
      </c>
      <c r="V93" s="443">
        <f t="shared" si="18"/>
        <v>66721.340000000011</v>
      </c>
      <c r="W93" s="231">
        <f t="shared" si="6"/>
        <v>66576.320000000007</v>
      </c>
      <c r="X93" s="231">
        <f t="shared" si="12"/>
        <v>11831.16</v>
      </c>
      <c r="Y93" s="231">
        <f t="shared" si="13"/>
        <v>48.34</v>
      </c>
      <c r="Z93" s="232">
        <f t="shared" si="14"/>
        <v>66624.66</v>
      </c>
      <c r="AA93" s="22">
        <f t="shared" si="11"/>
        <v>0</v>
      </c>
      <c r="AB93" s="424">
        <f t="shared" si="15"/>
        <v>1.4210854715202004E-13</v>
      </c>
      <c r="AC93" s="424">
        <f t="shared" si="16"/>
        <v>0</v>
      </c>
    </row>
    <row r="94" spans="1:29" s="149" customFormat="1" ht="14.25" customHeight="1" x14ac:dyDescent="0.25">
      <c r="A94" s="163"/>
      <c r="B94" s="167"/>
      <c r="C94" s="146"/>
      <c r="D94" s="160" t="s">
        <v>479</v>
      </c>
      <c r="E94" s="147"/>
      <c r="F94" s="205">
        <v>34.96</v>
      </c>
      <c r="G94" s="144"/>
      <c r="H94" s="148"/>
      <c r="I94" s="148"/>
      <c r="J94" s="148"/>
      <c r="R94" s="211"/>
      <c r="S94" s="211"/>
      <c r="T94" s="443"/>
      <c r="U94" s="445"/>
      <c r="V94" s="443"/>
      <c r="W94" s="211"/>
      <c r="X94" s="231">
        <f t="shared" si="12"/>
        <v>0</v>
      </c>
      <c r="Y94" s="231">
        <f t="shared" si="13"/>
        <v>0</v>
      </c>
      <c r="Z94" s="232">
        <f t="shared" si="14"/>
        <v>0</v>
      </c>
      <c r="AA94" s="22">
        <f t="shared" si="11"/>
        <v>0</v>
      </c>
      <c r="AB94" s="424">
        <f t="shared" si="15"/>
        <v>0</v>
      </c>
      <c r="AC94" s="424">
        <f t="shared" si="16"/>
        <v>0</v>
      </c>
    </row>
    <row r="95" spans="1:29" s="149" customFormat="1" ht="14.25" customHeight="1" x14ac:dyDescent="0.25">
      <c r="A95" s="152"/>
      <c r="B95" s="143"/>
      <c r="C95" s="154"/>
      <c r="D95" s="143"/>
      <c r="E95" s="155"/>
      <c r="F95" s="206"/>
      <c r="G95" s="156"/>
      <c r="H95" s="157"/>
      <c r="I95" s="157"/>
      <c r="J95" s="157"/>
      <c r="K95" s="171"/>
      <c r="L95" s="171"/>
      <c r="M95" s="171"/>
      <c r="N95" s="171"/>
      <c r="O95" s="171"/>
      <c r="P95" s="171"/>
      <c r="Q95" s="171"/>
      <c r="R95" s="213"/>
      <c r="S95" s="213"/>
      <c r="T95" s="443"/>
      <c r="U95" s="445"/>
      <c r="V95" s="443"/>
      <c r="W95" s="213"/>
      <c r="X95" s="231">
        <f t="shared" si="12"/>
        <v>0</v>
      </c>
      <c r="Y95" s="231">
        <f t="shared" si="13"/>
        <v>0</v>
      </c>
      <c r="Z95" s="232">
        <f t="shared" si="14"/>
        <v>0</v>
      </c>
      <c r="AA95" s="22">
        <f t="shared" si="11"/>
        <v>0</v>
      </c>
      <c r="AB95" s="424">
        <f t="shared" si="15"/>
        <v>0</v>
      </c>
      <c r="AC95" s="424">
        <f t="shared" si="16"/>
        <v>0</v>
      </c>
    </row>
    <row r="96" spans="1:29" s="257" customFormat="1" ht="14.25" customHeight="1" x14ac:dyDescent="0.25">
      <c r="A96" s="224">
        <f>SUM(A93+1)</f>
        <v>28</v>
      </c>
      <c r="B96" s="225" t="s">
        <v>67</v>
      </c>
      <c r="C96" s="226">
        <v>137</v>
      </c>
      <c r="D96" s="225" t="s">
        <v>68</v>
      </c>
      <c r="E96" s="454">
        <v>1</v>
      </c>
      <c r="F96" s="245">
        <v>218.4</v>
      </c>
      <c r="G96" s="258">
        <v>1939</v>
      </c>
      <c r="H96" s="237">
        <f>SUM(Лист1!G35)</f>
        <v>278857.99</v>
      </c>
      <c r="I96" s="237">
        <f>SUM(Лист1!H35)</f>
        <v>61786.47</v>
      </c>
      <c r="J96" s="237">
        <f>SUM(Лист1!I35)</f>
        <v>247.55</v>
      </c>
      <c r="K96" s="261"/>
      <c r="L96" s="261"/>
      <c r="M96" s="261"/>
      <c r="N96" s="261"/>
      <c r="O96" s="261"/>
      <c r="P96" s="261"/>
      <c r="Q96" s="261">
        <f>SUM(Q83+Q56)</f>
        <v>0</v>
      </c>
      <c r="R96" s="231">
        <f t="shared" si="10"/>
        <v>278857.99</v>
      </c>
      <c r="S96" s="231">
        <f>SUM(I96+O96-J96)</f>
        <v>61538.92</v>
      </c>
      <c r="T96" s="443">
        <f>S96-3*U96</f>
        <v>60796.27</v>
      </c>
      <c r="U96" s="445">
        <f t="shared" si="17"/>
        <v>247.55</v>
      </c>
      <c r="V96" s="443">
        <f t="shared" si="18"/>
        <v>218061.72</v>
      </c>
      <c r="W96" s="231">
        <f t="shared" si="6"/>
        <v>217319.07</v>
      </c>
      <c r="X96" s="231">
        <f t="shared" si="12"/>
        <v>61291.369999999995</v>
      </c>
      <c r="Y96" s="231">
        <f t="shared" si="13"/>
        <v>247.55</v>
      </c>
      <c r="Z96" s="232">
        <f t="shared" si="14"/>
        <v>217566.62</v>
      </c>
      <c r="AA96" s="22">
        <f t="shared" si="11"/>
        <v>0</v>
      </c>
      <c r="AB96" s="424">
        <f t="shared" si="15"/>
        <v>2.8990143619012088E-12</v>
      </c>
      <c r="AC96" s="424">
        <f t="shared" si="16"/>
        <v>0</v>
      </c>
    </row>
    <row r="97" spans="1:29" s="149" customFormat="1" ht="14.25" customHeight="1" x14ac:dyDescent="0.25">
      <c r="A97" s="163"/>
      <c r="B97" s="167"/>
      <c r="C97" s="146"/>
      <c r="D97" s="161" t="s">
        <v>473</v>
      </c>
      <c r="E97" s="169"/>
      <c r="F97" s="205">
        <v>218.4</v>
      </c>
      <c r="G97" s="144"/>
      <c r="H97" s="148"/>
      <c r="I97" s="148"/>
      <c r="J97" s="148"/>
      <c r="R97" s="211"/>
      <c r="S97" s="211"/>
      <c r="T97" s="443"/>
      <c r="U97" s="445"/>
      <c r="V97" s="443"/>
      <c r="W97" s="211"/>
      <c r="X97" s="231">
        <f t="shared" si="12"/>
        <v>0</v>
      </c>
      <c r="Y97" s="231">
        <f t="shared" si="13"/>
        <v>0</v>
      </c>
      <c r="Z97" s="232">
        <f t="shared" si="14"/>
        <v>0</v>
      </c>
      <c r="AA97" s="22">
        <f t="shared" si="11"/>
        <v>0</v>
      </c>
      <c r="AB97" s="424">
        <f t="shared" si="15"/>
        <v>0</v>
      </c>
      <c r="AC97" s="424">
        <f t="shared" si="16"/>
        <v>0</v>
      </c>
    </row>
    <row r="98" spans="1:29" s="149" customFormat="1" ht="14.25" customHeight="1" x14ac:dyDescent="0.25">
      <c r="A98" s="152"/>
      <c r="B98" s="143"/>
      <c r="C98" s="154"/>
      <c r="D98" s="143"/>
      <c r="E98" s="170"/>
      <c r="F98" s="206"/>
      <c r="G98" s="156"/>
      <c r="H98" s="157"/>
      <c r="I98" s="157"/>
      <c r="J98" s="157"/>
      <c r="K98" s="171"/>
      <c r="L98" s="171"/>
      <c r="M98" s="171"/>
      <c r="N98" s="171"/>
      <c r="O98" s="171"/>
      <c r="P98" s="171"/>
      <c r="Q98" s="171">
        <f>SUM(Q93-Q96)</f>
        <v>0</v>
      </c>
      <c r="R98" s="213"/>
      <c r="S98" s="213"/>
      <c r="T98" s="443"/>
      <c r="U98" s="445"/>
      <c r="V98" s="443"/>
      <c r="W98" s="213"/>
      <c r="X98" s="231">
        <f t="shared" si="12"/>
        <v>0</v>
      </c>
      <c r="Y98" s="231">
        <f t="shared" si="13"/>
        <v>0</v>
      </c>
      <c r="Z98" s="232">
        <f t="shared" si="14"/>
        <v>0</v>
      </c>
      <c r="AA98" s="22">
        <f t="shared" si="11"/>
        <v>0</v>
      </c>
      <c r="AB98" s="424">
        <f t="shared" si="15"/>
        <v>0</v>
      </c>
      <c r="AC98" s="424">
        <f t="shared" si="16"/>
        <v>0</v>
      </c>
    </row>
    <row r="99" spans="1:29" s="257" customFormat="1" ht="14.25" customHeight="1" x14ac:dyDescent="0.25">
      <c r="A99" s="224">
        <f>SUM(A96+1)</f>
        <v>29</v>
      </c>
      <c r="B99" s="225" t="s">
        <v>69</v>
      </c>
      <c r="C99" s="226">
        <v>141</v>
      </c>
      <c r="D99" s="225" t="s">
        <v>70</v>
      </c>
      <c r="E99" s="454">
        <v>10</v>
      </c>
      <c r="F99" s="252">
        <v>33.6</v>
      </c>
      <c r="G99" s="248">
        <v>1939</v>
      </c>
      <c r="H99" s="237">
        <f>SUM(Лист1!G36)</f>
        <v>46179.22</v>
      </c>
      <c r="I99" s="237">
        <f>SUM(Лист1!H36)</f>
        <v>7796.7</v>
      </c>
      <c r="J99" s="237">
        <f>SUM(Лист1!I36)</f>
        <v>34.229999999999997</v>
      </c>
      <c r="K99" s="261"/>
      <c r="L99" s="261"/>
      <c r="M99" s="261"/>
      <c r="N99" s="261"/>
      <c r="O99" s="261"/>
      <c r="P99" s="261"/>
      <c r="Q99" s="261"/>
      <c r="R99" s="231">
        <f t="shared" si="10"/>
        <v>46179.22</v>
      </c>
      <c r="S99" s="231">
        <f>SUM(I99+O99-J99)</f>
        <v>7762.47</v>
      </c>
      <c r="T99" s="443">
        <f>S99-3*U99</f>
        <v>7659.7800000000007</v>
      </c>
      <c r="U99" s="445">
        <f t="shared" si="17"/>
        <v>34.229999999999997</v>
      </c>
      <c r="V99" s="443">
        <f t="shared" si="18"/>
        <v>38519.440000000002</v>
      </c>
      <c r="W99" s="238">
        <f t="shared" si="6"/>
        <v>38416.75</v>
      </c>
      <c r="X99" s="231">
        <f t="shared" si="12"/>
        <v>7728.2400000000007</v>
      </c>
      <c r="Y99" s="231">
        <f t="shared" si="13"/>
        <v>34.229999999999997</v>
      </c>
      <c r="Z99" s="232">
        <f t="shared" si="14"/>
        <v>38450.980000000003</v>
      </c>
      <c r="AA99" s="22">
        <f t="shared" si="11"/>
        <v>0</v>
      </c>
      <c r="AB99" s="424">
        <f t="shared" si="15"/>
        <v>-4.3343106881366111E-13</v>
      </c>
      <c r="AC99" s="424">
        <f t="shared" si="16"/>
        <v>0</v>
      </c>
    </row>
    <row r="100" spans="1:29" s="149" customFormat="1" ht="14.25" customHeight="1" x14ac:dyDescent="0.25">
      <c r="A100" s="163"/>
      <c r="B100" s="167"/>
      <c r="C100" s="146"/>
      <c r="D100" s="161" t="s">
        <v>473</v>
      </c>
      <c r="E100" s="169"/>
      <c r="F100" s="139">
        <v>33.6</v>
      </c>
      <c r="G100" s="249"/>
      <c r="H100" s="148"/>
      <c r="I100" s="148"/>
      <c r="J100" s="148"/>
      <c r="R100" s="211"/>
      <c r="S100" s="211"/>
      <c r="T100" s="443"/>
      <c r="U100" s="445"/>
      <c r="V100" s="443"/>
      <c r="W100" s="212"/>
      <c r="X100" s="231">
        <f t="shared" si="12"/>
        <v>0</v>
      </c>
      <c r="Y100" s="231">
        <f t="shared" si="13"/>
        <v>0</v>
      </c>
      <c r="Z100" s="232">
        <f t="shared" si="14"/>
        <v>0</v>
      </c>
      <c r="AA100" s="22">
        <f t="shared" si="11"/>
        <v>0</v>
      </c>
      <c r="AB100" s="424">
        <f t="shared" si="15"/>
        <v>0</v>
      </c>
      <c r="AC100" s="424">
        <f t="shared" si="16"/>
        <v>0</v>
      </c>
    </row>
    <row r="101" spans="1:29" s="149" customFormat="1" ht="14.25" customHeight="1" x14ac:dyDescent="0.25">
      <c r="A101" s="152"/>
      <c r="B101" s="143"/>
      <c r="C101" s="154"/>
      <c r="D101" s="143"/>
      <c r="E101" s="170"/>
      <c r="F101" s="158"/>
      <c r="G101" s="142"/>
      <c r="H101" s="157"/>
      <c r="I101" s="157"/>
      <c r="J101" s="157"/>
      <c r="K101" s="171"/>
      <c r="L101" s="171"/>
      <c r="M101" s="171"/>
      <c r="N101" s="171"/>
      <c r="O101" s="171"/>
      <c r="P101" s="171"/>
      <c r="Q101" s="171"/>
      <c r="R101" s="213"/>
      <c r="S101" s="213"/>
      <c r="T101" s="443"/>
      <c r="U101" s="445"/>
      <c r="V101" s="443"/>
      <c r="W101" s="214"/>
      <c r="X101" s="231">
        <f t="shared" si="12"/>
        <v>0</v>
      </c>
      <c r="Y101" s="231">
        <f t="shared" si="13"/>
        <v>0</v>
      </c>
      <c r="Z101" s="232">
        <f t="shared" si="14"/>
        <v>0</v>
      </c>
      <c r="AA101" s="22">
        <f t="shared" si="11"/>
        <v>0</v>
      </c>
      <c r="AB101" s="424">
        <f t="shared" si="15"/>
        <v>0</v>
      </c>
      <c r="AC101" s="424">
        <f t="shared" si="16"/>
        <v>0</v>
      </c>
    </row>
    <row r="102" spans="1:29" s="306" customFormat="1" ht="14.25" customHeight="1" x14ac:dyDescent="0.25">
      <c r="A102" s="297">
        <f>SUM(A99+1)</f>
        <v>30</v>
      </c>
      <c r="B102" s="422" t="s">
        <v>71</v>
      </c>
      <c r="C102" s="298">
        <v>151</v>
      </c>
      <c r="D102" s="299" t="s">
        <v>33</v>
      </c>
      <c r="E102" s="300">
        <v>8</v>
      </c>
      <c r="F102" s="301">
        <f>F103</f>
        <v>52.8</v>
      </c>
      <c r="G102" s="302">
        <v>1939</v>
      </c>
      <c r="H102" s="303">
        <f>SUM(Лист1!G37)</f>
        <v>97347.06</v>
      </c>
      <c r="I102" s="303">
        <f>SUM(Лист1!H37)</f>
        <v>18379.5</v>
      </c>
      <c r="J102" s="303">
        <f>SUM(Лист1!I37)</f>
        <v>75.599999999999994</v>
      </c>
      <c r="K102" s="287"/>
      <c r="L102" s="287"/>
      <c r="M102" s="287"/>
      <c r="N102" s="287"/>
      <c r="O102" s="287"/>
      <c r="P102" s="287"/>
      <c r="Q102" s="287"/>
      <c r="R102" s="304">
        <f t="shared" si="10"/>
        <v>97347.06</v>
      </c>
      <c r="S102" s="231">
        <f>SUM(I102+O102-J102)</f>
        <v>18303.900000000001</v>
      </c>
      <c r="T102" s="443">
        <f>S102-3*U102</f>
        <v>18077.100000000002</v>
      </c>
      <c r="U102" s="445">
        <f t="shared" si="17"/>
        <v>75.599999999999994</v>
      </c>
      <c r="V102" s="443">
        <f t="shared" si="18"/>
        <v>79269.959999999992</v>
      </c>
      <c r="W102" s="305">
        <f t="shared" si="6"/>
        <v>79043.16</v>
      </c>
      <c r="X102" s="231">
        <f t="shared" si="12"/>
        <v>18228.300000000003</v>
      </c>
      <c r="Y102" s="231">
        <f t="shared" si="13"/>
        <v>75.599999999999994</v>
      </c>
      <c r="Z102" s="232">
        <f t="shared" si="14"/>
        <v>79118.760000000009</v>
      </c>
      <c r="AA102" s="22">
        <f t="shared" si="11"/>
        <v>0</v>
      </c>
      <c r="AB102" s="424">
        <f t="shared" si="15"/>
        <v>-1.4495071809506044E-12</v>
      </c>
      <c r="AC102" s="424">
        <f t="shared" si="16"/>
        <v>-1.4551915228366852E-11</v>
      </c>
    </row>
    <row r="103" spans="1:29" s="275" customFormat="1" ht="14.25" customHeight="1" x14ac:dyDescent="0.25">
      <c r="A103" s="272"/>
      <c r="B103" s="276"/>
      <c r="C103" s="266"/>
      <c r="D103" s="296" t="s">
        <v>479</v>
      </c>
      <c r="E103" s="267"/>
      <c r="F103" s="277">
        <v>52.8</v>
      </c>
      <c r="G103" s="265"/>
      <c r="H103" s="151"/>
      <c r="I103" s="151"/>
      <c r="J103" s="151"/>
      <c r="K103" s="269"/>
      <c r="L103" s="269"/>
      <c r="M103" s="269"/>
      <c r="N103" s="269"/>
      <c r="O103" s="269"/>
      <c r="P103" s="269"/>
      <c r="Q103" s="269"/>
      <c r="R103" s="274"/>
      <c r="S103" s="274"/>
      <c r="T103" s="443"/>
      <c r="U103" s="445"/>
      <c r="V103" s="443"/>
      <c r="W103" s="295"/>
      <c r="X103" s="231">
        <f t="shared" si="12"/>
        <v>0</v>
      </c>
      <c r="Y103" s="231">
        <f t="shared" si="13"/>
        <v>0</v>
      </c>
      <c r="Z103" s="232">
        <f t="shared" si="14"/>
        <v>0</v>
      </c>
      <c r="AA103" s="22">
        <f t="shared" si="11"/>
        <v>0</v>
      </c>
      <c r="AB103" s="424">
        <f t="shared" si="15"/>
        <v>0</v>
      </c>
      <c r="AC103" s="424">
        <f t="shared" si="16"/>
        <v>0</v>
      </c>
    </row>
    <row r="104" spans="1:29" ht="14.25" customHeight="1" x14ac:dyDescent="0.25">
      <c r="A104" s="152"/>
      <c r="B104" s="143"/>
      <c r="C104" s="154"/>
      <c r="D104" s="143"/>
      <c r="E104" s="155"/>
      <c r="F104" s="205"/>
      <c r="G104" s="156"/>
      <c r="H104" s="157"/>
      <c r="I104" s="157"/>
      <c r="J104" s="157"/>
      <c r="K104" s="171"/>
      <c r="L104" s="171"/>
      <c r="M104" s="171"/>
      <c r="N104" s="171"/>
      <c r="O104" s="171"/>
      <c r="P104" s="171"/>
      <c r="Q104" s="171"/>
      <c r="R104" s="213"/>
      <c r="S104" s="213"/>
      <c r="T104" s="443"/>
      <c r="U104" s="445"/>
      <c r="V104" s="443"/>
      <c r="W104" s="214"/>
      <c r="X104" s="231">
        <f t="shared" si="12"/>
        <v>0</v>
      </c>
      <c r="Y104" s="231">
        <f t="shared" si="13"/>
        <v>0</v>
      </c>
      <c r="Z104" s="232">
        <f t="shared" si="14"/>
        <v>0</v>
      </c>
      <c r="AA104" s="22">
        <f t="shared" si="11"/>
        <v>0</v>
      </c>
      <c r="AB104" s="424">
        <f t="shared" si="15"/>
        <v>0</v>
      </c>
      <c r="AC104" s="424">
        <f t="shared" si="16"/>
        <v>0</v>
      </c>
    </row>
    <row r="105" spans="1:29" s="233" customFormat="1" ht="14.25" customHeight="1" x14ac:dyDescent="0.25">
      <c r="A105" s="234">
        <f>SUM(A102+1)</f>
        <v>31</v>
      </c>
      <c r="B105" s="246" t="s">
        <v>72</v>
      </c>
      <c r="C105" s="235">
        <v>155</v>
      </c>
      <c r="D105" s="225" t="s">
        <v>73</v>
      </c>
      <c r="E105" s="251">
        <v>80</v>
      </c>
      <c r="F105" s="245">
        <v>31.71</v>
      </c>
      <c r="G105" s="258">
        <v>1939</v>
      </c>
      <c r="H105" s="237">
        <f>SUM(Лист1!G38)</f>
        <v>63622.41</v>
      </c>
      <c r="I105" s="237">
        <f>SUM(Лист1!H38)</f>
        <v>9713.34</v>
      </c>
      <c r="J105" s="237">
        <f>SUM(Лист1!I38)</f>
        <v>46.02</v>
      </c>
      <c r="K105" s="261"/>
      <c r="L105" s="261"/>
      <c r="M105" s="261"/>
      <c r="N105" s="252">
        <v>2455.02</v>
      </c>
      <c r="O105" s="252">
        <v>1803.09</v>
      </c>
      <c r="P105" s="259">
        <v>7.31</v>
      </c>
      <c r="Q105" s="261"/>
      <c r="R105" s="231">
        <f>SUM(H105+N105)</f>
        <v>66077.430000000008</v>
      </c>
      <c r="S105" s="231">
        <f>SUM(I105+O105-J105)</f>
        <v>11470.41</v>
      </c>
      <c r="T105" s="443">
        <f>S105-3*U105</f>
        <v>11310.42</v>
      </c>
      <c r="U105" s="445">
        <f t="shared" si="17"/>
        <v>53.330000000000005</v>
      </c>
      <c r="V105" s="443">
        <f t="shared" si="18"/>
        <v>54767.010000000009</v>
      </c>
      <c r="W105" s="231">
        <f t="shared" si="6"/>
        <v>54607.020000000004</v>
      </c>
      <c r="X105" s="231">
        <f t="shared" si="12"/>
        <v>11417.08</v>
      </c>
      <c r="Y105" s="231">
        <f t="shared" si="13"/>
        <v>53.330000000000005</v>
      </c>
      <c r="Z105" s="232">
        <f t="shared" si="14"/>
        <v>54660.350000000006</v>
      </c>
      <c r="AA105" s="22">
        <f t="shared" si="11"/>
        <v>0</v>
      </c>
      <c r="AB105" s="424">
        <f t="shared" si="15"/>
        <v>-7.815970093361102E-14</v>
      </c>
      <c r="AC105" s="424">
        <f t="shared" si="16"/>
        <v>0</v>
      </c>
    </row>
    <row r="106" spans="1:29" ht="14.25" customHeight="1" x14ac:dyDescent="0.25">
      <c r="A106" s="163"/>
      <c r="B106" s="167"/>
      <c r="C106" s="146"/>
      <c r="D106" s="161" t="s">
        <v>480</v>
      </c>
      <c r="E106" s="147"/>
      <c r="F106" s="205">
        <v>31.71</v>
      </c>
      <c r="G106" s="144"/>
      <c r="H106" s="148"/>
      <c r="I106" s="148"/>
      <c r="J106" s="148"/>
      <c r="K106" s="149"/>
      <c r="L106" s="149"/>
      <c r="M106" s="149"/>
      <c r="N106" s="139"/>
      <c r="O106" s="139"/>
      <c r="P106" s="140"/>
      <c r="Q106" s="149"/>
      <c r="R106" s="211"/>
      <c r="S106" s="211"/>
      <c r="T106" s="443"/>
      <c r="U106" s="445"/>
      <c r="V106" s="443"/>
      <c r="W106" s="211"/>
      <c r="X106" s="231">
        <f t="shared" si="12"/>
        <v>0</v>
      </c>
      <c r="Y106" s="231">
        <f t="shared" si="13"/>
        <v>0</v>
      </c>
      <c r="Z106" s="232">
        <f t="shared" si="14"/>
        <v>0</v>
      </c>
      <c r="AA106" s="22">
        <f t="shared" si="11"/>
        <v>0</v>
      </c>
      <c r="AB106" s="424">
        <f t="shared" si="15"/>
        <v>0</v>
      </c>
      <c r="AC106" s="424">
        <f t="shared" si="16"/>
        <v>0</v>
      </c>
    </row>
    <row r="107" spans="1:29" ht="14.25" customHeight="1" x14ac:dyDescent="0.25">
      <c r="A107" s="152"/>
      <c r="B107" s="143"/>
      <c r="C107" s="154"/>
      <c r="D107" s="143"/>
      <c r="E107" s="155"/>
      <c r="F107" s="206"/>
      <c r="G107" s="156"/>
      <c r="H107" s="157"/>
      <c r="I107" s="157"/>
      <c r="J107" s="157"/>
      <c r="K107" s="171"/>
      <c r="L107" s="171"/>
      <c r="M107" s="171"/>
      <c r="N107" s="158"/>
      <c r="O107" s="158"/>
      <c r="P107" s="159"/>
      <c r="Q107" s="171"/>
      <c r="R107" s="213"/>
      <c r="S107" s="213"/>
      <c r="T107" s="443"/>
      <c r="U107" s="445"/>
      <c r="V107" s="443"/>
      <c r="W107" s="213"/>
      <c r="X107" s="231">
        <f t="shared" si="12"/>
        <v>0</v>
      </c>
      <c r="Y107" s="231">
        <f t="shared" si="13"/>
        <v>0</v>
      </c>
      <c r="Z107" s="232">
        <f t="shared" si="14"/>
        <v>0</v>
      </c>
      <c r="AA107" s="22">
        <f t="shared" si="11"/>
        <v>0</v>
      </c>
      <c r="AB107" s="424">
        <f t="shared" si="15"/>
        <v>0</v>
      </c>
      <c r="AC107" s="424">
        <f t="shared" si="16"/>
        <v>0</v>
      </c>
    </row>
    <row r="108" spans="1:29" s="233" customFormat="1" ht="14.25" customHeight="1" x14ac:dyDescent="0.25">
      <c r="A108" s="224">
        <f>A105+1</f>
        <v>32</v>
      </c>
      <c r="B108" s="225" t="s">
        <v>76</v>
      </c>
      <c r="C108" s="235">
        <v>164</v>
      </c>
      <c r="D108" s="225" t="s">
        <v>77</v>
      </c>
      <c r="E108" s="454">
        <v>1</v>
      </c>
      <c r="F108" s="243">
        <v>62.9</v>
      </c>
      <c r="G108" s="248">
        <v>1939</v>
      </c>
      <c r="H108" s="237">
        <f>SUM(Лист1!G40)</f>
        <v>88497.8</v>
      </c>
      <c r="I108" s="237">
        <f>SUM(Лист1!H40)</f>
        <v>16592.310000000001</v>
      </c>
      <c r="J108" s="237">
        <f>SUM(Лист1!I40)</f>
        <v>68.959999999999994</v>
      </c>
      <c r="K108" s="261"/>
      <c r="L108" s="261"/>
      <c r="M108" s="261"/>
      <c r="N108" s="252">
        <v>3701.92</v>
      </c>
      <c r="O108" s="252">
        <v>2917.29</v>
      </c>
      <c r="P108" s="259">
        <v>11.02</v>
      </c>
      <c r="Q108" s="261"/>
      <c r="R108" s="231">
        <f t="shared" si="10"/>
        <v>92199.72</v>
      </c>
      <c r="S108" s="231">
        <f>SUM(I108+O108-J108)</f>
        <v>19440.640000000003</v>
      </c>
      <c r="T108" s="443">
        <f>S108-3*U108</f>
        <v>19200.700000000004</v>
      </c>
      <c r="U108" s="445">
        <f t="shared" si="17"/>
        <v>79.97999999999999</v>
      </c>
      <c r="V108" s="443">
        <f t="shared" si="18"/>
        <v>72999.01999999999</v>
      </c>
      <c r="W108" s="231">
        <f t="shared" si="6"/>
        <v>72759.08</v>
      </c>
      <c r="X108" s="231">
        <f t="shared" si="12"/>
        <v>19360.660000000003</v>
      </c>
      <c r="Y108" s="231">
        <f t="shared" si="13"/>
        <v>79.97999999999999</v>
      </c>
      <c r="Z108" s="232">
        <f t="shared" si="14"/>
        <v>72839.06</v>
      </c>
      <c r="AA108" s="22">
        <f t="shared" si="11"/>
        <v>0</v>
      </c>
      <c r="AB108" s="424">
        <f t="shared" si="15"/>
        <v>-4.2632564145606011E-13</v>
      </c>
      <c r="AC108" s="424">
        <f t="shared" si="16"/>
        <v>0</v>
      </c>
    </row>
    <row r="109" spans="1:29" ht="14.25" customHeight="1" x14ac:dyDescent="0.25">
      <c r="A109" s="163"/>
      <c r="B109" s="167"/>
      <c r="C109" s="146"/>
      <c r="D109" s="161" t="s">
        <v>473</v>
      </c>
      <c r="E109" s="169"/>
      <c r="F109" s="139">
        <v>62.9</v>
      </c>
      <c r="G109" s="249"/>
      <c r="H109" s="148"/>
      <c r="I109" s="148"/>
      <c r="J109" s="148"/>
      <c r="K109" s="149"/>
      <c r="L109" s="149"/>
      <c r="M109" s="149"/>
      <c r="N109" s="139"/>
      <c r="O109" s="139"/>
      <c r="P109" s="140"/>
      <c r="Q109" s="149"/>
      <c r="R109" s="211"/>
      <c r="S109" s="211"/>
      <c r="T109" s="443"/>
      <c r="U109" s="445"/>
      <c r="V109" s="443"/>
      <c r="W109" s="211"/>
      <c r="X109" s="231">
        <f t="shared" si="12"/>
        <v>0</v>
      </c>
      <c r="Y109" s="231">
        <f t="shared" si="13"/>
        <v>0</v>
      </c>
      <c r="Z109" s="232">
        <f t="shared" si="14"/>
        <v>0</v>
      </c>
      <c r="AA109" s="22">
        <f t="shared" si="11"/>
        <v>0</v>
      </c>
      <c r="AB109" s="424">
        <f t="shared" si="15"/>
        <v>0</v>
      </c>
      <c r="AC109" s="424">
        <f t="shared" si="16"/>
        <v>0</v>
      </c>
    </row>
    <row r="110" spans="1:29" ht="14.25" customHeight="1" x14ac:dyDescent="0.25">
      <c r="A110" s="163"/>
      <c r="B110" s="167"/>
      <c r="C110" s="146"/>
      <c r="D110" s="167"/>
      <c r="E110" s="169"/>
      <c r="F110" s="139"/>
      <c r="G110" s="249"/>
      <c r="H110" s="148"/>
      <c r="I110" s="148"/>
      <c r="J110" s="148"/>
      <c r="K110" s="149"/>
      <c r="L110" s="149"/>
      <c r="M110" s="149"/>
      <c r="N110" s="139"/>
      <c r="O110" s="139"/>
      <c r="P110" s="140"/>
      <c r="Q110" s="149"/>
      <c r="R110" s="211"/>
      <c r="S110" s="211"/>
      <c r="T110" s="443"/>
      <c r="U110" s="445"/>
      <c r="V110" s="443"/>
      <c r="W110" s="211"/>
      <c r="X110" s="231">
        <f t="shared" si="12"/>
        <v>0</v>
      </c>
      <c r="Y110" s="231">
        <f t="shared" si="13"/>
        <v>0</v>
      </c>
      <c r="Z110" s="232">
        <f t="shared" si="14"/>
        <v>0</v>
      </c>
      <c r="AA110" s="22">
        <f t="shared" si="11"/>
        <v>0</v>
      </c>
      <c r="AB110" s="424">
        <f t="shared" si="15"/>
        <v>0</v>
      </c>
      <c r="AC110" s="424">
        <f t="shared" si="16"/>
        <v>0</v>
      </c>
    </row>
    <row r="111" spans="1:29" s="233" customFormat="1" ht="14.25" customHeight="1" x14ac:dyDescent="0.25">
      <c r="A111" s="224">
        <f>SUM(A108+1)</f>
        <v>33</v>
      </c>
      <c r="B111" s="225" t="s">
        <v>78</v>
      </c>
      <c r="C111" s="226">
        <v>166</v>
      </c>
      <c r="D111" s="225" t="s">
        <v>77</v>
      </c>
      <c r="E111" s="251">
        <v>12</v>
      </c>
      <c r="F111" s="245">
        <v>7.8</v>
      </c>
      <c r="G111" s="258">
        <v>1939</v>
      </c>
      <c r="H111" s="237">
        <f>SUM(Лист1!G41)</f>
        <v>15879.21</v>
      </c>
      <c r="I111" s="237">
        <f>SUM(Лист1!H41)</f>
        <v>2561.37</v>
      </c>
      <c r="J111" s="237">
        <f>SUM(Лист1!I41)</f>
        <v>11.02</v>
      </c>
      <c r="K111" s="261"/>
      <c r="L111" s="261"/>
      <c r="M111" s="261"/>
      <c r="N111" s="261"/>
      <c r="O111" s="261"/>
      <c r="P111" s="261"/>
      <c r="Q111" s="261"/>
      <c r="R111" s="231">
        <f t="shared" si="10"/>
        <v>15879.21</v>
      </c>
      <c r="S111" s="231">
        <f>SUM(I111+O111-J111)</f>
        <v>2550.35</v>
      </c>
      <c r="T111" s="443">
        <f>S111-3*U111</f>
        <v>2517.29</v>
      </c>
      <c r="U111" s="445">
        <f t="shared" si="17"/>
        <v>11.02</v>
      </c>
      <c r="V111" s="443">
        <f t="shared" si="18"/>
        <v>13361.919999999998</v>
      </c>
      <c r="W111" s="231">
        <f t="shared" si="6"/>
        <v>13328.859999999999</v>
      </c>
      <c r="X111" s="231">
        <f t="shared" si="12"/>
        <v>2539.33</v>
      </c>
      <c r="Y111" s="231">
        <f t="shared" si="13"/>
        <v>11.02</v>
      </c>
      <c r="Z111" s="232">
        <f t="shared" si="14"/>
        <v>13339.88</v>
      </c>
      <c r="AA111" s="22">
        <f t="shared" si="11"/>
        <v>0</v>
      </c>
      <c r="AB111" s="424">
        <f t="shared" si="15"/>
        <v>-1.7763568394002505E-14</v>
      </c>
      <c r="AC111" s="424">
        <f t="shared" si="16"/>
        <v>0</v>
      </c>
    </row>
    <row r="112" spans="1:29" ht="14.25" customHeight="1" x14ac:dyDescent="0.25">
      <c r="A112" s="163"/>
      <c r="B112" s="167"/>
      <c r="C112" s="146"/>
      <c r="D112" s="161" t="s">
        <v>473</v>
      </c>
      <c r="E112" s="147"/>
      <c r="F112" s="205">
        <v>7.8</v>
      </c>
      <c r="G112" s="144"/>
      <c r="H112" s="148"/>
      <c r="I112" s="148"/>
      <c r="J112" s="148"/>
      <c r="K112" s="149"/>
      <c r="L112" s="149"/>
      <c r="M112" s="149"/>
      <c r="N112" s="149"/>
      <c r="O112" s="149"/>
      <c r="P112" s="149"/>
      <c r="Q112" s="149"/>
      <c r="R112" s="211"/>
      <c r="S112" s="211"/>
      <c r="T112" s="443"/>
      <c r="U112" s="445"/>
      <c r="V112" s="443"/>
      <c r="W112" s="211"/>
      <c r="X112" s="231">
        <f t="shared" si="12"/>
        <v>0</v>
      </c>
      <c r="Y112" s="231">
        <f t="shared" si="13"/>
        <v>0</v>
      </c>
      <c r="Z112" s="232">
        <f t="shared" si="14"/>
        <v>0</v>
      </c>
      <c r="AA112" s="22">
        <f t="shared" si="11"/>
        <v>0</v>
      </c>
      <c r="AB112" s="424">
        <f t="shared" si="15"/>
        <v>0</v>
      </c>
      <c r="AC112" s="424">
        <f t="shared" si="16"/>
        <v>0</v>
      </c>
    </row>
    <row r="113" spans="1:29" ht="14.25" customHeight="1" x14ac:dyDescent="0.25">
      <c r="A113" s="152"/>
      <c r="B113" s="143"/>
      <c r="C113" s="154"/>
      <c r="D113" s="143"/>
      <c r="E113" s="155"/>
      <c r="F113" s="206"/>
      <c r="G113" s="156"/>
      <c r="H113" s="157"/>
      <c r="I113" s="157"/>
      <c r="J113" s="157"/>
      <c r="K113" s="171"/>
      <c r="L113" s="171"/>
      <c r="M113" s="171"/>
      <c r="N113" s="171"/>
      <c r="O113" s="171"/>
      <c r="P113" s="171"/>
      <c r="Q113" s="171"/>
      <c r="R113" s="213"/>
      <c r="S113" s="213"/>
      <c r="T113" s="443"/>
      <c r="U113" s="445"/>
      <c r="V113" s="443"/>
      <c r="W113" s="213"/>
      <c r="X113" s="231">
        <f t="shared" si="12"/>
        <v>0</v>
      </c>
      <c r="Y113" s="231">
        <f t="shared" si="13"/>
        <v>0</v>
      </c>
      <c r="Z113" s="232">
        <f t="shared" si="14"/>
        <v>0</v>
      </c>
      <c r="AA113" s="22">
        <f t="shared" si="11"/>
        <v>0</v>
      </c>
      <c r="AB113" s="424">
        <f t="shared" si="15"/>
        <v>0</v>
      </c>
      <c r="AC113" s="424">
        <f t="shared" si="16"/>
        <v>0</v>
      </c>
    </row>
    <row r="114" spans="1:29" s="233" customFormat="1" ht="14.25" customHeight="1" x14ac:dyDescent="0.25">
      <c r="A114" s="224">
        <f>SUM(A111+1)</f>
        <v>34</v>
      </c>
      <c r="B114" s="225" t="s">
        <v>79</v>
      </c>
      <c r="C114" s="226">
        <v>169</v>
      </c>
      <c r="D114" s="225" t="s">
        <v>77</v>
      </c>
      <c r="E114" s="454">
        <v>23</v>
      </c>
      <c r="F114" s="245">
        <v>186.9</v>
      </c>
      <c r="G114" s="258">
        <v>1939</v>
      </c>
      <c r="H114" s="237">
        <f>SUM(Лист1!G42)</f>
        <v>300929.31</v>
      </c>
      <c r="I114" s="237">
        <f>SUM(Лист1!H42)</f>
        <v>92057.88</v>
      </c>
      <c r="J114" s="237">
        <f>SUM(Лист1!I42)</f>
        <v>372.12</v>
      </c>
      <c r="K114" s="261"/>
      <c r="L114" s="261"/>
      <c r="M114" s="261"/>
      <c r="N114" s="252">
        <v>11386.79</v>
      </c>
      <c r="O114" s="252">
        <v>9736.76</v>
      </c>
      <c r="P114" s="259">
        <v>33.89</v>
      </c>
      <c r="Q114" s="261"/>
      <c r="R114" s="231">
        <f t="shared" si="10"/>
        <v>312316.09999999998</v>
      </c>
      <c r="S114" s="231">
        <f>SUM(I114+O114-J114)</f>
        <v>101422.52</v>
      </c>
      <c r="T114" s="443">
        <f>S114-3*U114</f>
        <v>100204.49</v>
      </c>
      <c r="U114" s="445">
        <f t="shared" si="17"/>
        <v>406.01</v>
      </c>
      <c r="V114" s="443">
        <f t="shared" si="18"/>
        <v>212111.61</v>
      </c>
      <c r="W114" s="231">
        <f t="shared" si="6"/>
        <v>210893.57999999996</v>
      </c>
      <c r="X114" s="231">
        <f t="shared" si="12"/>
        <v>101016.51000000001</v>
      </c>
      <c r="Y114" s="231">
        <f t="shared" si="13"/>
        <v>406.01</v>
      </c>
      <c r="Z114" s="232">
        <f t="shared" si="14"/>
        <v>211299.58999999997</v>
      </c>
      <c r="AA114" s="22">
        <f t="shared" si="11"/>
        <v>0</v>
      </c>
      <c r="AB114" s="424">
        <f t="shared" si="15"/>
        <v>-5.2295945351943374E-12</v>
      </c>
      <c r="AC114" s="424">
        <f t="shared" si="16"/>
        <v>0</v>
      </c>
    </row>
    <row r="115" spans="1:29" ht="14.25" customHeight="1" x14ac:dyDescent="0.25">
      <c r="A115" s="163"/>
      <c r="B115" s="167"/>
      <c r="C115" s="146"/>
      <c r="D115" s="161" t="s">
        <v>470</v>
      </c>
      <c r="E115" s="169"/>
      <c r="F115" s="205">
        <v>186.9</v>
      </c>
      <c r="G115" s="144"/>
      <c r="H115" s="148"/>
      <c r="I115" s="148"/>
      <c r="J115" s="148"/>
      <c r="K115" s="149"/>
      <c r="L115" s="149"/>
      <c r="M115" s="149"/>
      <c r="N115" s="139"/>
      <c r="O115" s="139"/>
      <c r="P115" s="140"/>
      <c r="Q115" s="149"/>
      <c r="R115" s="211"/>
      <c r="S115" s="211"/>
      <c r="T115" s="443"/>
      <c r="U115" s="445"/>
      <c r="V115" s="443"/>
      <c r="W115" s="211"/>
      <c r="X115" s="231">
        <f t="shared" si="12"/>
        <v>0</v>
      </c>
      <c r="Y115" s="231">
        <f t="shared" si="13"/>
        <v>0</v>
      </c>
      <c r="Z115" s="232">
        <f t="shared" si="14"/>
        <v>0</v>
      </c>
      <c r="AA115" s="22">
        <f t="shared" si="11"/>
        <v>0</v>
      </c>
      <c r="AB115" s="424">
        <f t="shared" si="15"/>
        <v>0</v>
      </c>
      <c r="AC115" s="424">
        <f t="shared" si="16"/>
        <v>0</v>
      </c>
    </row>
    <row r="116" spans="1:29" ht="14.25" customHeight="1" x14ac:dyDescent="0.25">
      <c r="A116" s="152"/>
      <c r="B116" s="143"/>
      <c r="C116" s="154"/>
      <c r="D116" s="143"/>
      <c r="E116" s="170"/>
      <c r="F116" s="206"/>
      <c r="G116" s="156"/>
      <c r="H116" s="157"/>
      <c r="I116" s="157"/>
      <c r="J116" s="157"/>
      <c r="K116" s="171"/>
      <c r="L116" s="171"/>
      <c r="M116" s="171"/>
      <c r="N116" s="158"/>
      <c r="O116" s="158"/>
      <c r="P116" s="159"/>
      <c r="Q116" s="171"/>
      <c r="R116" s="213"/>
      <c r="S116" s="213"/>
      <c r="T116" s="443"/>
      <c r="U116" s="445"/>
      <c r="V116" s="443"/>
      <c r="W116" s="213"/>
      <c r="X116" s="231">
        <f t="shared" si="12"/>
        <v>0</v>
      </c>
      <c r="Y116" s="231">
        <f t="shared" si="13"/>
        <v>0</v>
      </c>
      <c r="Z116" s="232">
        <f t="shared" si="14"/>
        <v>0</v>
      </c>
      <c r="AA116" s="22">
        <f t="shared" si="11"/>
        <v>0</v>
      </c>
      <c r="AB116" s="424">
        <f t="shared" si="15"/>
        <v>0</v>
      </c>
      <c r="AC116" s="424">
        <f t="shared" si="16"/>
        <v>0</v>
      </c>
    </row>
    <row r="117" spans="1:29" s="306" customFormat="1" ht="14.25" customHeight="1" x14ac:dyDescent="0.25">
      <c r="A117" s="313">
        <f>A114+1</f>
        <v>35</v>
      </c>
      <c r="B117" s="307" t="s">
        <v>81</v>
      </c>
      <c r="C117" s="348">
        <v>185</v>
      </c>
      <c r="D117" s="307" t="s">
        <v>33</v>
      </c>
      <c r="E117" s="320">
        <v>59</v>
      </c>
      <c r="F117" s="321">
        <f>F118</f>
        <v>23.1</v>
      </c>
      <c r="G117" s="309">
        <v>1986</v>
      </c>
      <c r="H117" s="310">
        <f>SUM(Лист1!G44)</f>
        <v>101027.96</v>
      </c>
      <c r="I117" s="310">
        <f>SUM(Лист1!H44)</f>
        <v>39749.660000000003</v>
      </c>
      <c r="J117" s="310">
        <f>SUM(Лист1!I44)</f>
        <v>56.15</v>
      </c>
      <c r="K117" s="311"/>
      <c r="L117" s="311"/>
      <c r="M117" s="311"/>
      <c r="N117" s="319">
        <v>598.16</v>
      </c>
      <c r="O117" s="319">
        <v>484.83</v>
      </c>
      <c r="P117" s="319">
        <v>0.66</v>
      </c>
      <c r="Q117" s="311"/>
      <c r="R117" s="231">
        <f t="shared" si="10"/>
        <v>101626.12000000001</v>
      </c>
      <c r="S117" s="231">
        <f>SUM(I117+O117-J117)</f>
        <v>40178.340000000004</v>
      </c>
      <c r="T117" s="443">
        <f>S117-3*U117</f>
        <v>40007.910000000003</v>
      </c>
      <c r="U117" s="445">
        <f t="shared" si="17"/>
        <v>56.809999999999995</v>
      </c>
      <c r="V117" s="443">
        <f t="shared" si="18"/>
        <v>61618.210000000006</v>
      </c>
      <c r="W117" s="314">
        <f t="shared" si="6"/>
        <v>61447.780000000006</v>
      </c>
      <c r="X117" s="231">
        <f t="shared" si="12"/>
        <v>40121.530000000006</v>
      </c>
      <c r="Y117" s="231">
        <f t="shared" si="13"/>
        <v>56.809999999999995</v>
      </c>
      <c r="Z117" s="232">
        <f t="shared" si="14"/>
        <v>61504.590000000004</v>
      </c>
      <c r="AA117" s="22">
        <f t="shared" si="11"/>
        <v>0</v>
      </c>
      <c r="AB117" s="424">
        <f t="shared" si="15"/>
        <v>-2.3234747459355276E-12</v>
      </c>
      <c r="AC117" s="424">
        <f t="shared" si="16"/>
        <v>0</v>
      </c>
    </row>
    <row r="118" spans="1:29" s="275" customFormat="1" ht="14.25" customHeight="1" x14ac:dyDescent="0.25">
      <c r="A118" s="272"/>
      <c r="B118" s="276"/>
      <c r="C118" s="266"/>
      <c r="D118" s="296" t="s">
        <v>481</v>
      </c>
      <c r="E118" s="267"/>
      <c r="F118" s="277">
        <v>23.1</v>
      </c>
      <c r="G118" s="265"/>
      <c r="H118" s="151"/>
      <c r="I118" s="151"/>
      <c r="J118" s="151"/>
      <c r="K118" s="269"/>
      <c r="L118" s="269"/>
      <c r="M118" s="269"/>
      <c r="N118" s="315"/>
      <c r="O118" s="315"/>
      <c r="P118" s="315"/>
      <c r="Q118" s="269"/>
      <c r="R118" s="274"/>
      <c r="S118" s="274"/>
      <c r="T118" s="443"/>
      <c r="U118" s="445"/>
      <c r="V118" s="443"/>
      <c r="W118" s="274"/>
      <c r="X118" s="231">
        <f t="shared" si="12"/>
        <v>0</v>
      </c>
      <c r="Y118" s="231">
        <f t="shared" si="13"/>
        <v>0</v>
      </c>
      <c r="Z118" s="232">
        <f t="shared" si="14"/>
        <v>0</v>
      </c>
      <c r="AA118" s="22">
        <f t="shared" si="11"/>
        <v>0</v>
      </c>
      <c r="AB118" s="424">
        <f t="shared" si="15"/>
        <v>0</v>
      </c>
      <c r="AC118" s="424">
        <f t="shared" si="16"/>
        <v>0</v>
      </c>
    </row>
    <row r="119" spans="1:29" ht="14.25" customHeight="1" x14ac:dyDescent="0.25">
      <c r="A119" s="152"/>
      <c r="B119" s="143"/>
      <c r="C119" s="154"/>
      <c r="D119" s="143"/>
      <c r="E119" s="155"/>
      <c r="F119" s="206"/>
      <c r="G119" s="156"/>
      <c r="H119" s="157"/>
      <c r="I119" s="157"/>
      <c r="J119" s="157"/>
      <c r="K119" s="171"/>
      <c r="L119" s="171"/>
      <c r="M119" s="171"/>
      <c r="N119" s="159"/>
      <c r="O119" s="159"/>
      <c r="P119" s="159"/>
      <c r="Q119" s="171"/>
      <c r="R119" s="213"/>
      <c r="S119" s="213"/>
      <c r="T119" s="443"/>
      <c r="U119" s="445"/>
      <c r="V119" s="443"/>
      <c r="W119" s="213"/>
      <c r="X119" s="231">
        <f t="shared" si="12"/>
        <v>0</v>
      </c>
      <c r="Y119" s="231">
        <f t="shared" si="13"/>
        <v>0</v>
      </c>
      <c r="Z119" s="232">
        <f t="shared" si="14"/>
        <v>0</v>
      </c>
      <c r="AA119" s="22">
        <f t="shared" si="11"/>
        <v>0</v>
      </c>
      <c r="AB119" s="424">
        <f t="shared" si="15"/>
        <v>0</v>
      </c>
      <c r="AC119" s="424">
        <f t="shared" si="16"/>
        <v>0</v>
      </c>
    </row>
    <row r="120" spans="1:29" s="233" customFormat="1" ht="14.25" customHeight="1" x14ac:dyDescent="0.25">
      <c r="A120" s="224">
        <f>SUM(A117+1)</f>
        <v>36</v>
      </c>
      <c r="B120" s="225" t="s">
        <v>82</v>
      </c>
      <c r="C120" s="226">
        <v>189</v>
      </c>
      <c r="D120" s="225" t="s">
        <v>83</v>
      </c>
      <c r="E120" s="260" t="s">
        <v>84</v>
      </c>
      <c r="F120" s="252">
        <v>48</v>
      </c>
      <c r="G120" s="248">
        <v>1948</v>
      </c>
      <c r="H120" s="237">
        <f>SUM(Лист1!G45)</f>
        <v>44448.38</v>
      </c>
      <c r="I120" s="237">
        <f>SUM(Лист1!H45)</f>
        <v>10110.75</v>
      </c>
      <c r="J120" s="237">
        <f>SUM(Лист1!I45)</f>
        <v>28.19</v>
      </c>
      <c r="K120" s="261"/>
      <c r="L120" s="261"/>
      <c r="M120" s="261"/>
      <c r="N120" s="252">
        <v>122982.45</v>
      </c>
      <c r="O120" s="252">
        <v>113672.39</v>
      </c>
      <c r="P120" s="259">
        <v>268.33</v>
      </c>
      <c r="Q120" s="261"/>
      <c r="R120" s="231">
        <f t="shared" si="10"/>
        <v>167430.82999999999</v>
      </c>
      <c r="S120" s="231">
        <f>SUM(I120+O120-J120)</f>
        <v>123754.95</v>
      </c>
      <c r="T120" s="443">
        <f>S120-3*U120</f>
        <v>122865.39</v>
      </c>
      <c r="U120" s="445">
        <f t="shared" si="17"/>
        <v>296.52</v>
      </c>
      <c r="V120" s="443">
        <f t="shared" si="18"/>
        <v>44565.439999999988</v>
      </c>
      <c r="W120" s="238">
        <f t="shared" si="6"/>
        <v>43675.87999999999</v>
      </c>
      <c r="X120" s="231">
        <f t="shared" si="12"/>
        <v>123458.43</v>
      </c>
      <c r="Y120" s="231">
        <f t="shared" si="13"/>
        <v>296.52</v>
      </c>
      <c r="Z120" s="232">
        <f t="shared" si="14"/>
        <v>43972.399999999987</v>
      </c>
      <c r="AA120" s="22">
        <f t="shared" si="11"/>
        <v>0</v>
      </c>
      <c r="AB120" s="424">
        <f t="shared" si="15"/>
        <v>4.0927261579781771E-12</v>
      </c>
      <c r="AC120" s="424">
        <f t="shared" si="16"/>
        <v>7.2759576141834259E-12</v>
      </c>
    </row>
    <row r="121" spans="1:29" ht="14.25" customHeight="1" x14ac:dyDescent="0.25">
      <c r="A121" s="163"/>
      <c r="B121" s="167"/>
      <c r="C121" s="146"/>
      <c r="D121" s="161" t="s">
        <v>482</v>
      </c>
      <c r="E121" s="165"/>
      <c r="F121" s="139">
        <v>48</v>
      </c>
      <c r="G121" s="249"/>
      <c r="H121" s="148"/>
      <c r="I121" s="148"/>
      <c r="J121" s="148"/>
      <c r="K121" s="149"/>
      <c r="L121" s="149"/>
      <c r="M121" s="149"/>
      <c r="N121" s="139"/>
      <c r="O121" s="139"/>
      <c r="P121" s="140"/>
      <c r="Q121" s="149"/>
      <c r="R121" s="211"/>
      <c r="S121" s="211"/>
      <c r="T121" s="443"/>
      <c r="U121" s="445"/>
      <c r="V121" s="443"/>
      <c r="W121" s="212"/>
      <c r="X121" s="231">
        <f t="shared" si="12"/>
        <v>0</v>
      </c>
      <c r="Y121" s="231">
        <f t="shared" si="13"/>
        <v>0</v>
      </c>
      <c r="Z121" s="232">
        <f t="shared" si="14"/>
        <v>0</v>
      </c>
      <c r="AA121" s="22">
        <f t="shared" si="11"/>
        <v>0</v>
      </c>
      <c r="AB121" s="424">
        <f t="shared" si="15"/>
        <v>0</v>
      </c>
      <c r="AC121" s="424">
        <f t="shared" si="16"/>
        <v>0</v>
      </c>
    </row>
    <row r="122" spans="1:29" ht="14.25" customHeight="1" x14ac:dyDescent="0.25">
      <c r="A122" s="152"/>
      <c r="B122" s="143"/>
      <c r="C122" s="154"/>
      <c r="D122" s="143"/>
      <c r="E122" s="166"/>
      <c r="F122" s="158"/>
      <c r="G122" s="142"/>
      <c r="H122" s="157"/>
      <c r="I122" s="157"/>
      <c r="J122" s="157"/>
      <c r="K122" s="171"/>
      <c r="L122" s="171"/>
      <c r="M122" s="171"/>
      <c r="N122" s="158"/>
      <c r="O122" s="158"/>
      <c r="P122" s="159"/>
      <c r="Q122" s="171"/>
      <c r="R122" s="213"/>
      <c r="S122" s="213"/>
      <c r="T122" s="443"/>
      <c r="U122" s="445"/>
      <c r="V122" s="443"/>
      <c r="W122" s="214"/>
      <c r="X122" s="231">
        <f t="shared" si="12"/>
        <v>0</v>
      </c>
      <c r="Y122" s="231">
        <f t="shared" si="13"/>
        <v>0</v>
      </c>
      <c r="Z122" s="232">
        <f t="shared" si="14"/>
        <v>0</v>
      </c>
      <c r="AA122" s="22">
        <f t="shared" si="11"/>
        <v>0</v>
      </c>
      <c r="AB122" s="424">
        <f t="shared" si="15"/>
        <v>0</v>
      </c>
      <c r="AC122" s="424">
        <f t="shared" si="16"/>
        <v>0</v>
      </c>
    </row>
    <row r="123" spans="1:29" s="233" customFormat="1" ht="14.25" customHeight="1" x14ac:dyDescent="0.25">
      <c r="A123" s="224">
        <f>SUM(A120+1)</f>
        <v>37</v>
      </c>
      <c r="B123" s="225" t="s">
        <v>85</v>
      </c>
      <c r="C123" s="226">
        <v>190</v>
      </c>
      <c r="D123" s="225" t="s">
        <v>83</v>
      </c>
      <c r="E123" s="454">
        <v>32</v>
      </c>
      <c r="F123" s="252">
        <v>38</v>
      </c>
      <c r="G123" s="248">
        <v>1939</v>
      </c>
      <c r="H123" s="237">
        <f>SUM(Лист1!G46)</f>
        <v>78579.98</v>
      </c>
      <c r="I123" s="237">
        <f>SUM(Лист1!H46)</f>
        <v>21912.75</v>
      </c>
      <c r="J123" s="237">
        <f>SUM(Лист1!I46)</f>
        <v>92.65</v>
      </c>
      <c r="K123" s="261"/>
      <c r="L123" s="261"/>
      <c r="M123" s="261"/>
      <c r="N123" s="261"/>
      <c r="O123" s="261"/>
      <c r="P123" s="261"/>
      <c r="Q123" s="261"/>
      <c r="R123" s="231">
        <f t="shared" si="10"/>
        <v>78579.98</v>
      </c>
      <c r="S123" s="231">
        <f>SUM(I123+O123-J123)</f>
        <v>21820.1</v>
      </c>
      <c r="T123" s="443">
        <f>S123-3*U123</f>
        <v>21542.149999999998</v>
      </c>
      <c r="U123" s="445">
        <f t="shared" si="17"/>
        <v>92.65</v>
      </c>
      <c r="V123" s="443">
        <f t="shared" si="18"/>
        <v>57037.83</v>
      </c>
      <c r="W123" s="238">
        <f t="shared" si="6"/>
        <v>56759.88</v>
      </c>
      <c r="X123" s="231">
        <f t="shared" si="12"/>
        <v>21727.449999999997</v>
      </c>
      <c r="Y123" s="231">
        <f t="shared" si="13"/>
        <v>92.65</v>
      </c>
      <c r="Z123" s="232">
        <f t="shared" si="14"/>
        <v>56852.53</v>
      </c>
      <c r="AA123" s="22">
        <f t="shared" si="11"/>
        <v>0</v>
      </c>
      <c r="AB123" s="424">
        <f t="shared" si="15"/>
        <v>1.4495071809506044E-12</v>
      </c>
      <c r="AC123" s="424">
        <f t="shared" si="16"/>
        <v>0</v>
      </c>
    </row>
    <row r="124" spans="1:29" ht="14.25" customHeight="1" x14ac:dyDescent="0.25">
      <c r="A124" s="163"/>
      <c r="B124" s="167"/>
      <c r="C124" s="146"/>
      <c r="D124" s="161" t="s">
        <v>478</v>
      </c>
      <c r="E124" s="169"/>
      <c r="F124" s="139">
        <v>38</v>
      </c>
      <c r="G124" s="249"/>
      <c r="H124" s="148"/>
      <c r="I124" s="148"/>
      <c r="J124" s="148"/>
      <c r="K124" s="149"/>
      <c r="L124" s="149"/>
      <c r="M124" s="149"/>
      <c r="N124" s="149"/>
      <c r="O124" s="149"/>
      <c r="P124" s="149"/>
      <c r="Q124" s="149"/>
      <c r="R124" s="211"/>
      <c r="S124" s="211"/>
      <c r="T124" s="443"/>
      <c r="U124" s="445"/>
      <c r="V124" s="443"/>
      <c r="W124" s="212"/>
      <c r="X124" s="231">
        <f t="shared" si="12"/>
        <v>0</v>
      </c>
      <c r="Y124" s="231">
        <f t="shared" si="13"/>
        <v>0</v>
      </c>
      <c r="Z124" s="232">
        <f t="shared" si="14"/>
        <v>0</v>
      </c>
      <c r="AA124" s="22">
        <f t="shared" si="11"/>
        <v>0</v>
      </c>
      <c r="AB124" s="424">
        <f t="shared" si="15"/>
        <v>0</v>
      </c>
      <c r="AC124" s="424">
        <f t="shared" si="16"/>
        <v>0</v>
      </c>
    </row>
    <row r="125" spans="1:29" ht="14.25" customHeight="1" x14ac:dyDescent="0.25">
      <c r="A125" s="152"/>
      <c r="B125" s="143"/>
      <c r="C125" s="154"/>
      <c r="D125" s="143"/>
      <c r="E125" s="170"/>
      <c r="F125" s="158"/>
      <c r="G125" s="142"/>
      <c r="H125" s="157"/>
      <c r="I125" s="157"/>
      <c r="J125" s="157"/>
      <c r="K125" s="171"/>
      <c r="L125" s="171"/>
      <c r="M125" s="171"/>
      <c r="N125" s="171"/>
      <c r="O125" s="171"/>
      <c r="P125" s="171"/>
      <c r="Q125" s="171"/>
      <c r="R125" s="213"/>
      <c r="S125" s="213"/>
      <c r="T125" s="443"/>
      <c r="U125" s="445"/>
      <c r="V125" s="443"/>
      <c r="W125" s="214"/>
      <c r="X125" s="231">
        <f t="shared" si="12"/>
        <v>0</v>
      </c>
      <c r="Y125" s="231">
        <f t="shared" si="13"/>
        <v>0</v>
      </c>
      <c r="Z125" s="232">
        <f t="shared" si="14"/>
        <v>0</v>
      </c>
      <c r="AA125" s="22">
        <f t="shared" si="11"/>
        <v>0</v>
      </c>
      <c r="AB125" s="424">
        <f t="shared" si="15"/>
        <v>0</v>
      </c>
      <c r="AC125" s="424">
        <f t="shared" si="16"/>
        <v>0</v>
      </c>
    </row>
    <row r="126" spans="1:29" s="233" customFormat="1" ht="14.25" customHeight="1" x14ac:dyDescent="0.25">
      <c r="A126" s="224">
        <f>SUM(A123+1)</f>
        <v>38</v>
      </c>
      <c r="B126" s="225" t="s">
        <v>86</v>
      </c>
      <c r="C126" s="226">
        <v>201</v>
      </c>
      <c r="D126" s="225" t="s">
        <v>87</v>
      </c>
      <c r="E126" s="454">
        <v>19</v>
      </c>
      <c r="F126" s="252">
        <f>F127</f>
        <v>23</v>
      </c>
      <c r="G126" s="248">
        <v>1939</v>
      </c>
      <c r="H126" s="237">
        <f>SUM(Лист1!G47)</f>
        <v>43534.27</v>
      </c>
      <c r="I126" s="237">
        <f>SUM(Лист1!H47)</f>
        <v>6747.7</v>
      </c>
      <c r="J126" s="237">
        <f>SUM(Лист1!I47)</f>
        <v>29.23</v>
      </c>
      <c r="K126" s="261"/>
      <c r="L126" s="261"/>
      <c r="M126" s="261"/>
      <c r="N126" s="261"/>
      <c r="O126" s="261"/>
      <c r="P126" s="261"/>
      <c r="Q126" s="261"/>
      <c r="R126" s="231">
        <f t="shared" si="10"/>
        <v>43534.27</v>
      </c>
      <c r="S126" s="231">
        <f>SUM(I126+O126-J126)</f>
        <v>6718.47</v>
      </c>
      <c r="T126" s="443">
        <f>S126-3*U126</f>
        <v>6630.7800000000007</v>
      </c>
      <c r="U126" s="445">
        <f t="shared" si="17"/>
        <v>29.23</v>
      </c>
      <c r="V126" s="443">
        <f t="shared" si="18"/>
        <v>36903.49</v>
      </c>
      <c r="W126" s="238">
        <f t="shared" si="6"/>
        <v>36815.799999999996</v>
      </c>
      <c r="X126" s="231">
        <f t="shared" si="12"/>
        <v>6689.2400000000007</v>
      </c>
      <c r="Y126" s="231">
        <f t="shared" si="13"/>
        <v>29.23</v>
      </c>
      <c r="Z126" s="232">
        <f t="shared" si="14"/>
        <v>36845.03</v>
      </c>
      <c r="AA126" s="22">
        <f t="shared" si="11"/>
        <v>0</v>
      </c>
      <c r="AB126" s="424">
        <f t="shared" si="15"/>
        <v>-4.3698378249246161E-13</v>
      </c>
      <c r="AC126" s="424">
        <f t="shared" si="16"/>
        <v>0</v>
      </c>
    </row>
    <row r="127" spans="1:29" s="275" customFormat="1" ht="14.25" customHeight="1" x14ac:dyDescent="0.25">
      <c r="A127" s="272"/>
      <c r="B127" s="276"/>
      <c r="C127" s="266"/>
      <c r="D127" s="296" t="s">
        <v>478</v>
      </c>
      <c r="E127" s="457"/>
      <c r="F127" s="268">
        <v>23</v>
      </c>
      <c r="G127" s="278"/>
      <c r="H127" s="151"/>
      <c r="I127" s="151"/>
      <c r="J127" s="151"/>
      <c r="K127" s="269"/>
      <c r="L127" s="269"/>
      <c r="M127" s="269"/>
      <c r="N127" s="269"/>
      <c r="O127" s="269"/>
      <c r="P127" s="269"/>
      <c r="Q127" s="269"/>
      <c r="R127" s="274"/>
      <c r="S127" s="274"/>
      <c r="T127" s="443"/>
      <c r="U127" s="445"/>
      <c r="V127" s="443"/>
      <c r="W127" s="295"/>
      <c r="X127" s="231">
        <f t="shared" si="12"/>
        <v>0</v>
      </c>
      <c r="Y127" s="231">
        <f t="shared" si="13"/>
        <v>0</v>
      </c>
      <c r="Z127" s="232">
        <f t="shared" si="14"/>
        <v>0</v>
      </c>
      <c r="AA127" s="22">
        <f t="shared" si="11"/>
        <v>0</v>
      </c>
      <c r="AB127" s="424">
        <f t="shared" si="15"/>
        <v>0</v>
      </c>
      <c r="AC127" s="424">
        <f t="shared" si="16"/>
        <v>0</v>
      </c>
    </row>
    <row r="128" spans="1:29" ht="14.25" customHeight="1" x14ac:dyDescent="0.25">
      <c r="A128" s="152"/>
      <c r="B128" s="143"/>
      <c r="C128" s="154"/>
      <c r="D128" s="143"/>
      <c r="E128" s="170"/>
      <c r="F128" s="158"/>
      <c r="G128" s="142"/>
      <c r="H128" s="157"/>
      <c r="I128" s="157"/>
      <c r="J128" s="157"/>
      <c r="K128" s="171"/>
      <c r="L128" s="171"/>
      <c r="M128" s="171"/>
      <c r="N128" s="171"/>
      <c r="O128" s="171"/>
      <c r="P128" s="171"/>
      <c r="Q128" s="171"/>
      <c r="R128" s="213"/>
      <c r="S128" s="213"/>
      <c r="T128" s="443"/>
      <c r="U128" s="445"/>
      <c r="V128" s="443"/>
      <c r="W128" s="214"/>
      <c r="X128" s="231">
        <f t="shared" si="12"/>
        <v>0</v>
      </c>
      <c r="Y128" s="231">
        <f t="shared" si="13"/>
        <v>0</v>
      </c>
      <c r="Z128" s="232">
        <f t="shared" si="14"/>
        <v>0</v>
      </c>
      <c r="AA128" s="22">
        <f t="shared" si="11"/>
        <v>0</v>
      </c>
      <c r="AB128" s="424">
        <f t="shared" si="15"/>
        <v>0</v>
      </c>
      <c r="AC128" s="424">
        <f t="shared" si="16"/>
        <v>0</v>
      </c>
    </row>
    <row r="129" spans="1:29" s="233" customFormat="1" ht="14.25" customHeight="1" x14ac:dyDescent="0.25">
      <c r="A129" s="224">
        <f>SUM(A126+1)</f>
        <v>39</v>
      </c>
      <c r="B129" s="225" t="s">
        <v>88</v>
      </c>
      <c r="C129" s="226">
        <v>208</v>
      </c>
      <c r="D129" s="225" t="s">
        <v>89</v>
      </c>
      <c r="E129" s="454">
        <v>40</v>
      </c>
      <c r="F129" s="252">
        <f>F130</f>
        <v>41.2</v>
      </c>
      <c r="G129" s="248">
        <v>1939</v>
      </c>
      <c r="H129" s="237">
        <f>SUM(Лист1!G48)</f>
        <v>180013.83</v>
      </c>
      <c r="I129" s="237">
        <f>SUM(Лист1!H48)</f>
        <v>11854.39</v>
      </c>
      <c r="J129" s="237">
        <f>SUM(Лист1!I48)</f>
        <v>76.69</v>
      </c>
      <c r="K129" s="261"/>
      <c r="L129" s="261"/>
      <c r="M129" s="261"/>
      <c r="N129" s="261"/>
      <c r="O129" s="261"/>
      <c r="P129" s="261"/>
      <c r="Q129" s="261"/>
      <c r="R129" s="231">
        <f t="shared" si="10"/>
        <v>180013.83</v>
      </c>
      <c r="S129" s="231">
        <f>SUM(I129+O129-J129)</f>
        <v>11777.699999999999</v>
      </c>
      <c r="T129" s="443">
        <f>S129-3*U129</f>
        <v>11547.63</v>
      </c>
      <c r="U129" s="445">
        <f t="shared" si="17"/>
        <v>76.69</v>
      </c>
      <c r="V129" s="443">
        <f t="shared" si="18"/>
        <v>168466.19999999998</v>
      </c>
      <c r="W129" s="238">
        <f t="shared" si="6"/>
        <v>168236.12999999998</v>
      </c>
      <c r="X129" s="231">
        <f t="shared" si="12"/>
        <v>11701.009999999998</v>
      </c>
      <c r="Y129" s="231">
        <f t="shared" si="13"/>
        <v>76.69</v>
      </c>
      <c r="Z129" s="232">
        <f t="shared" si="14"/>
        <v>168312.81999999998</v>
      </c>
      <c r="AA129" s="22">
        <f t="shared" si="11"/>
        <v>0</v>
      </c>
      <c r="AB129" s="424">
        <f t="shared" si="15"/>
        <v>5.1159076974727213E-13</v>
      </c>
      <c r="AC129" s="424">
        <f t="shared" si="16"/>
        <v>0</v>
      </c>
    </row>
    <row r="130" spans="1:29" s="275" customFormat="1" ht="14.25" customHeight="1" x14ac:dyDescent="0.25">
      <c r="A130" s="272"/>
      <c r="B130" s="276"/>
      <c r="C130" s="266"/>
      <c r="D130" s="296" t="s">
        <v>482</v>
      </c>
      <c r="E130" s="457"/>
      <c r="F130" s="268">
        <v>41.2</v>
      </c>
      <c r="G130" s="278"/>
      <c r="H130" s="151"/>
      <c r="I130" s="151"/>
      <c r="J130" s="151"/>
      <c r="K130" s="269"/>
      <c r="L130" s="269"/>
      <c r="M130" s="269"/>
      <c r="N130" s="269"/>
      <c r="O130" s="269"/>
      <c r="P130" s="269"/>
      <c r="Q130" s="269"/>
      <c r="R130" s="274"/>
      <c r="S130" s="274"/>
      <c r="T130" s="443"/>
      <c r="U130" s="445"/>
      <c r="V130" s="443"/>
      <c r="W130" s="295"/>
      <c r="X130" s="231">
        <f t="shared" si="12"/>
        <v>0</v>
      </c>
      <c r="Y130" s="231">
        <f t="shared" si="13"/>
        <v>0</v>
      </c>
      <c r="Z130" s="232">
        <f t="shared" si="14"/>
        <v>0</v>
      </c>
      <c r="AA130" s="22">
        <f t="shared" si="11"/>
        <v>0</v>
      </c>
      <c r="AB130" s="424">
        <f t="shared" si="15"/>
        <v>0</v>
      </c>
      <c r="AC130" s="424">
        <f t="shared" si="16"/>
        <v>0</v>
      </c>
    </row>
    <row r="131" spans="1:29" ht="14.25" customHeight="1" x14ac:dyDescent="0.25">
      <c r="A131" s="152"/>
      <c r="B131" s="143"/>
      <c r="C131" s="154"/>
      <c r="D131" s="143"/>
      <c r="E131" s="170"/>
      <c r="F131" s="158"/>
      <c r="G131" s="142"/>
      <c r="H131" s="157"/>
      <c r="I131" s="157"/>
      <c r="J131" s="157"/>
      <c r="K131" s="171"/>
      <c r="L131" s="171"/>
      <c r="M131" s="171"/>
      <c r="N131" s="171"/>
      <c r="O131" s="171"/>
      <c r="P131" s="171"/>
      <c r="Q131" s="171"/>
      <c r="R131" s="213"/>
      <c r="S131" s="213"/>
      <c r="T131" s="443"/>
      <c r="U131" s="445"/>
      <c r="V131" s="443"/>
      <c r="W131" s="214"/>
      <c r="X131" s="231">
        <f t="shared" si="12"/>
        <v>0</v>
      </c>
      <c r="Y131" s="231">
        <f t="shared" si="13"/>
        <v>0</v>
      </c>
      <c r="Z131" s="232">
        <f t="shared" si="14"/>
        <v>0</v>
      </c>
      <c r="AA131" s="22">
        <f t="shared" ref="AA131:AA194" si="19">SUM(U131-Y131)</f>
        <v>0</v>
      </c>
      <c r="AB131" s="424">
        <f t="shared" si="15"/>
        <v>0</v>
      </c>
      <c r="AC131" s="424">
        <f t="shared" si="16"/>
        <v>0</v>
      </c>
    </row>
    <row r="132" spans="1:29" s="233" customFormat="1" ht="14.25" customHeight="1" x14ac:dyDescent="0.25">
      <c r="A132" s="224">
        <f>SUM(A129+1)</f>
        <v>40</v>
      </c>
      <c r="B132" s="225" t="s">
        <v>90</v>
      </c>
      <c r="C132" s="226">
        <v>214</v>
      </c>
      <c r="D132" s="225" t="s">
        <v>91</v>
      </c>
      <c r="E132" s="454">
        <v>16</v>
      </c>
      <c r="F132" s="252">
        <v>35.799999999999997</v>
      </c>
      <c r="G132" s="248">
        <v>1939</v>
      </c>
      <c r="H132" s="237">
        <f>SUM(Лист1!G49)</f>
        <v>103869.53</v>
      </c>
      <c r="I132" s="237">
        <f>SUM(Лист1!H49)</f>
        <v>10960.22</v>
      </c>
      <c r="J132" s="237">
        <f>SUM(Лист1!I49)</f>
        <v>72.540000000000006</v>
      </c>
      <c r="K132" s="261"/>
      <c r="L132" s="261"/>
      <c r="M132" s="261"/>
      <c r="N132" s="261"/>
      <c r="O132" s="261"/>
      <c r="P132" s="261"/>
      <c r="Q132" s="261"/>
      <c r="R132" s="231">
        <f t="shared" si="10"/>
        <v>103869.53</v>
      </c>
      <c r="S132" s="231">
        <f>SUM(I132+O132-J132)</f>
        <v>10887.679999999998</v>
      </c>
      <c r="T132" s="443">
        <f>S132-3*U132</f>
        <v>10670.059999999998</v>
      </c>
      <c r="U132" s="445">
        <f t="shared" si="17"/>
        <v>72.540000000000006</v>
      </c>
      <c r="V132" s="443">
        <f t="shared" si="18"/>
        <v>93199.47</v>
      </c>
      <c r="W132" s="238">
        <f t="shared" si="6"/>
        <v>92981.85</v>
      </c>
      <c r="X132" s="231">
        <f t="shared" ref="X132:X195" si="20">SUM(S132-U132)</f>
        <v>10815.139999999998</v>
      </c>
      <c r="Y132" s="231">
        <f t="shared" ref="Y132:Y195" si="21">SUM(U132)</f>
        <v>72.540000000000006</v>
      </c>
      <c r="Z132" s="232">
        <f t="shared" ref="Z132:Z195" si="22">SUM(U132+W132)</f>
        <v>93054.39</v>
      </c>
      <c r="AA132" s="22">
        <f t="shared" si="19"/>
        <v>0</v>
      </c>
      <c r="AB132" s="424">
        <f t="shared" ref="AB132:AB195" si="23">SUM(S132-X132-U132)</f>
        <v>8.6686213762732223E-13</v>
      </c>
      <c r="AC132" s="424">
        <f t="shared" ref="AC132:AC195" si="24">SUM(R132-X132-Z132)</f>
        <v>0</v>
      </c>
    </row>
    <row r="133" spans="1:29" ht="14.25" customHeight="1" x14ac:dyDescent="0.25">
      <c r="A133" s="163"/>
      <c r="B133" s="167"/>
      <c r="C133" s="146"/>
      <c r="D133" s="161" t="s">
        <v>483</v>
      </c>
      <c r="E133" s="169"/>
      <c r="F133" s="139">
        <v>35.799999999999997</v>
      </c>
      <c r="G133" s="249"/>
      <c r="H133" s="148"/>
      <c r="I133" s="148"/>
      <c r="J133" s="148"/>
      <c r="K133" s="149"/>
      <c r="L133" s="149"/>
      <c r="M133" s="149"/>
      <c r="N133" s="149"/>
      <c r="O133" s="149"/>
      <c r="P133" s="149"/>
      <c r="Q133" s="149"/>
      <c r="R133" s="211"/>
      <c r="S133" s="211"/>
      <c r="T133" s="443"/>
      <c r="U133" s="445"/>
      <c r="V133" s="443"/>
      <c r="W133" s="212"/>
      <c r="X133" s="231">
        <f t="shared" si="20"/>
        <v>0</v>
      </c>
      <c r="Y133" s="231">
        <f t="shared" si="21"/>
        <v>0</v>
      </c>
      <c r="Z133" s="232">
        <f t="shared" si="22"/>
        <v>0</v>
      </c>
      <c r="AA133" s="22">
        <f t="shared" si="19"/>
        <v>0</v>
      </c>
      <c r="AB133" s="424">
        <f t="shared" si="23"/>
        <v>0</v>
      </c>
      <c r="AC133" s="424">
        <f t="shared" si="24"/>
        <v>0</v>
      </c>
    </row>
    <row r="134" spans="1:29" ht="14.25" customHeight="1" x14ac:dyDescent="0.25">
      <c r="A134" s="152"/>
      <c r="B134" s="143"/>
      <c r="C134" s="154"/>
      <c r="D134" s="143"/>
      <c r="E134" s="170"/>
      <c r="F134" s="158"/>
      <c r="G134" s="142"/>
      <c r="H134" s="157"/>
      <c r="I134" s="157"/>
      <c r="J134" s="157"/>
      <c r="K134" s="171"/>
      <c r="L134" s="171"/>
      <c r="M134" s="171"/>
      <c r="N134" s="171"/>
      <c r="O134" s="171"/>
      <c r="P134" s="171"/>
      <c r="Q134" s="171"/>
      <c r="R134" s="213"/>
      <c r="S134" s="213"/>
      <c r="T134" s="443"/>
      <c r="U134" s="445"/>
      <c r="V134" s="443"/>
      <c r="W134" s="214"/>
      <c r="X134" s="231">
        <f t="shared" si="20"/>
        <v>0</v>
      </c>
      <c r="Y134" s="231">
        <f t="shared" si="21"/>
        <v>0</v>
      </c>
      <c r="Z134" s="232">
        <f t="shared" si="22"/>
        <v>0</v>
      </c>
      <c r="AA134" s="22">
        <f t="shared" si="19"/>
        <v>0</v>
      </c>
      <c r="AB134" s="424">
        <f t="shared" si="23"/>
        <v>0</v>
      </c>
      <c r="AC134" s="424">
        <f t="shared" si="24"/>
        <v>0</v>
      </c>
    </row>
    <row r="135" spans="1:29" s="233" customFormat="1" ht="14.25" customHeight="1" x14ac:dyDescent="0.25">
      <c r="A135" s="224">
        <f>SUM(A132+1)</f>
        <v>41</v>
      </c>
      <c r="B135" s="225" t="s">
        <v>92</v>
      </c>
      <c r="C135" s="226">
        <v>215</v>
      </c>
      <c r="D135" s="225" t="s">
        <v>73</v>
      </c>
      <c r="E135" s="454">
        <v>54</v>
      </c>
      <c r="F135" s="252">
        <v>75.63</v>
      </c>
      <c r="G135" s="248">
        <v>1939</v>
      </c>
      <c r="H135" s="237">
        <f>SUM(Лист1!G50)</f>
        <v>109154.89</v>
      </c>
      <c r="I135" s="237">
        <f>SUM(Лист1!H50)</f>
        <v>8312.01</v>
      </c>
      <c r="J135" s="237">
        <f>SUM(Лист1!I50)</f>
        <v>54.51</v>
      </c>
      <c r="K135" s="261"/>
      <c r="L135" s="261"/>
      <c r="M135" s="261"/>
      <c r="N135" s="261"/>
      <c r="O135" s="261"/>
      <c r="P135" s="261"/>
      <c r="Q135" s="261"/>
      <c r="R135" s="231">
        <f t="shared" si="10"/>
        <v>109154.89</v>
      </c>
      <c r="S135" s="231">
        <f>SUM(I135+O135-J135)</f>
        <v>8257.5</v>
      </c>
      <c r="T135" s="443">
        <f>S135-3*U135</f>
        <v>8093.97</v>
      </c>
      <c r="U135" s="445">
        <f t="shared" si="17"/>
        <v>54.51</v>
      </c>
      <c r="V135" s="443">
        <f t="shared" si="18"/>
        <v>101060.92</v>
      </c>
      <c r="W135" s="238">
        <f t="shared" si="6"/>
        <v>100897.39</v>
      </c>
      <c r="X135" s="231">
        <f t="shared" si="20"/>
        <v>8202.99</v>
      </c>
      <c r="Y135" s="231">
        <f t="shared" si="21"/>
        <v>54.51</v>
      </c>
      <c r="Z135" s="232">
        <f t="shared" si="22"/>
        <v>100951.9</v>
      </c>
      <c r="AA135" s="22">
        <f t="shared" si="19"/>
        <v>0</v>
      </c>
      <c r="AB135" s="424">
        <f t="shared" si="23"/>
        <v>2.2026824808563106E-13</v>
      </c>
      <c r="AC135" s="424">
        <f t="shared" si="24"/>
        <v>0</v>
      </c>
    </row>
    <row r="136" spans="1:29" ht="14.25" customHeight="1" x14ac:dyDescent="0.25">
      <c r="A136" s="163"/>
      <c r="B136" s="167"/>
      <c r="C136" s="146"/>
      <c r="D136" s="161" t="s">
        <v>484</v>
      </c>
      <c r="E136" s="169"/>
      <c r="F136" s="139">
        <v>75.63</v>
      </c>
      <c r="G136" s="249"/>
      <c r="H136" s="148"/>
      <c r="I136" s="148"/>
      <c r="J136" s="148"/>
      <c r="K136" s="149"/>
      <c r="L136" s="149"/>
      <c r="M136" s="149"/>
      <c r="N136" s="149"/>
      <c r="O136" s="149"/>
      <c r="P136" s="149"/>
      <c r="Q136" s="149"/>
      <c r="R136" s="211"/>
      <c r="S136" s="211"/>
      <c r="T136" s="443"/>
      <c r="U136" s="445"/>
      <c r="V136" s="443"/>
      <c r="W136" s="212"/>
      <c r="X136" s="231">
        <f t="shared" si="20"/>
        <v>0</v>
      </c>
      <c r="Y136" s="231">
        <f t="shared" si="21"/>
        <v>0</v>
      </c>
      <c r="Z136" s="232">
        <f t="shared" si="22"/>
        <v>0</v>
      </c>
      <c r="AA136" s="22">
        <f t="shared" si="19"/>
        <v>0</v>
      </c>
      <c r="AB136" s="424">
        <f t="shared" si="23"/>
        <v>0</v>
      </c>
      <c r="AC136" s="424">
        <f t="shared" si="24"/>
        <v>0</v>
      </c>
    </row>
    <row r="137" spans="1:29" ht="14.25" customHeight="1" x14ac:dyDescent="0.25">
      <c r="A137" s="152"/>
      <c r="B137" s="143"/>
      <c r="C137" s="154"/>
      <c r="D137" s="143"/>
      <c r="E137" s="170"/>
      <c r="F137" s="158"/>
      <c r="G137" s="142"/>
      <c r="H137" s="157"/>
      <c r="I137" s="157"/>
      <c r="J137" s="157"/>
      <c r="K137" s="171"/>
      <c r="L137" s="171"/>
      <c r="M137" s="171"/>
      <c r="N137" s="171"/>
      <c r="O137" s="171"/>
      <c r="P137" s="171"/>
      <c r="Q137" s="171"/>
      <c r="R137" s="213"/>
      <c r="S137" s="213"/>
      <c r="T137" s="443"/>
      <c r="U137" s="445"/>
      <c r="V137" s="443"/>
      <c r="W137" s="214"/>
      <c r="X137" s="231">
        <f t="shared" si="20"/>
        <v>0</v>
      </c>
      <c r="Y137" s="231">
        <f t="shared" si="21"/>
        <v>0</v>
      </c>
      <c r="Z137" s="232">
        <f t="shared" si="22"/>
        <v>0</v>
      </c>
      <c r="AA137" s="22">
        <f t="shared" si="19"/>
        <v>0</v>
      </c>
      <c r="AB137" s="424">
        <f t="shared" si="23"/>
        <v>0</v>
      </c>
      <c r="AC137" s="424">
        <f t="shared" si="24"/>
        <v>0</v>
      </c>
    </row>
    <row r="138" spans="1:29" s="233" customFormat="1" ht="14.25" customHeight="1" x14ac:dyDescent="0.25">
      <c r="A138" s="224">
        <f>SUM(A135+1)</f>
        <v>42</v>
      </c>
      <c r="B138" s="225" t="s">
        <v>93</v>
      </c>
      <c r="C138" s="226">
        <v>217</v>
      </c>
      <c r="D138" s="225" t="s">
        <v>94</v>
      </c>
      <c r="E138" s="454">
        <v>29</v>
      </c>
      <c r="F138" s="252">
        <v>35.700000000000003</v>
      </c>
      <c r="G138" s="248">
        <v>1939</v>
      </c>
      <c r="H138" s="237">
        <f>SUM(Лист1!G51)</f>
        <v>15519</v>
      </c>
      <c r="I138" s="237">
        <f>SUM(Лист1!H51)</f>
        <v>4274.79</v>
      </c>
      <c r="J138" s="237">
        <f>SUM(Лист1!I51)</f>
        <v>28.17</v>
      </c>
      <c r="K138" s="261"/>
      <c r="L138" s="261"/>
      <c r="M138" s="261"/>
      <c r="N138" s="261"/>
      <c r="O138" s="261"/>
      <c r="P138" s="261"/>
      <c r="Q138" s="261"/>
      <c r="R138" s="231">
        <f t="shared" si="10"/>
        <v>15519</v>
      </c>
      <c r="S138" s="231">
        <f>SUM(I138+O138-J138)</f>
        <v>4246.62</v>
      </c>
      <c r="T138" s="443">
        <f>S138-3*U138</f>
        <v>4162.1099999999997</v>
      </c>
      <c r="U138" s="445">
        <f t="shared" si="17"/>
        <v>28.17</v>
      </c>
      <c r="V138" s="443">
        <f t="shared" si="18"/>
        <v>11356.89</v>
      </c>
      <c r="W138" s="238">
        <f t="shared" si="6"/>
        <v>11272.380000000001</v>
      </c>
      <c r="X138" s="231">
        <f t="shared" si="20"/>
        <v>4218.45</v>
      </c>
      <c r="Y138" s="231">
        <f t="shared" si="21"/>
        <v>28.17</v>
      </c>
      <c r="Z138" s="232">
        <f t="shared" si="22"/>
        <v>11300.550000000001</v>
      </c>
      <c r="AA138" s="22">
        <f t="shared" si="19"/>
        <v>0</v>
      </c>
      <c r="AB138" s="424">
        <f t="shared" si="23"/>
        <v>7.1054273576010019E-14</v>
      </c>
      <c r="AC138" s="424">
        <f t="shared" si="24"/>
        <v>-1.8189894035458565E-12</v>
      </c>
    </row>
    <row r="139" spans="1:29" ht="14.25" customHeight="1" x14ac:dyDescent="0.25">
      <c r="A139" s="163"/>
      <c r="B139" s="167"/>
      <c r="C139" s="146"/>
      <c r="D139" s="161" t="s">
        <v>478</v>
      </c>
      <c r="E139" s="169"/>
      <c r="F139" s="139">
        <v>35.700000000000003</v>
      </c>
      <c r="G139" s="249"/>
      <c r="H139" s="148"/>
      <c r="I139" s="148"/>
      <c r="J139" s="148"/>
      <c r="K139" s="149"/>
      <c r="L139" s="149"/>
      <c r="M139" s="149"/>
      <c r="N139" s="149"/>
      <c r="O139" s="149"/>
      <c r="P139" s="149"/>
      <c r="Q139" s="149"/>
      <c r="R139" s="211"/>
      <c r="S139" s="211"/>
      <c r="T139" s="443"/>
      <c r="U139" s="445"/>
      <c r="V139" s="443"/>
      <c r="W139" s="212"/>
      <c r="X139" s="231">
        <f t="shared" si="20"/>
        <v>0</v>
      </c>
      <c r="Y139" s="231">
        <f t="shared" si="21"/>
        <v>0</v>
      </c>
      <c r="Z139" s="232">
        <f t="shared" si="22"/>
        <v>0</v>
      </c>
      <c r="AA139" s="22">
        <f t="shared" si="19"/>
        <v>0</v>
      </c>
      <c r="AB139" s="424">
        <f t="shared" si="23"/>
        <v>0</v>
      </c>
      <c r="AC139" s="424">
        <f t="shared" si="24"/>
        <v>0</v>
      </c>
    </row>
    <row r="140" spans="1:29" ht="14.25" customHeight="1" x14ac:dyDescent="0.25">
      <c r="A140" s="152"/>
      <c r="B140" s="143"/>
      <c r="C140" s="154"/>
      <c r="D140" s="143"/>
      <c r="E140" s="170"/>
      <c r="F140" s="158"/>
      <c r="G140" s="142"/>
      <c r="H140" s="157"/>
      <c r="I140" s="157"/>
      <c r="J140" s="157"/>
      <c r="K140" s="171"/>
      <c r="L140" s="171"/>
      <c r="M140" s="171"/>
      <c r="N140" s="171"/>
      <c r="O140" s="171"/>
      <c r="P140" s="171"/>
      <c r="Q140" s="171"/>
      <c r="R140" s="213"/>
      <c r="S140" s="213"/>
      <c r="T140" s="443"/>
      <c r="U140" s="445"/>
      <c r="V140" s="443"/>
      <c r="W140" s="214"/>
      <c r="X140" s="231">
        <f t="shared" si="20"/>
        <v>0</v>
      </c>
      <c r="Y140" s="231">
        <f t="shared" si="21"/>
        <v>0</v>
      </c>
      <c r="Z140" s="232">
        <f t="shared" si="22"/>
        <v>0</v>
      </c>
      <c r="AA140" s="22">
        <f t="shared" si="19"/>
        <v>0</v>
      </c>
      <c r="AB140" s="424">
        <f t="shared" si="23"/>
        <v>0</v>
      </c>
      <c r="AC140" s="424">
        <f t="shared" si="24"/>
        <v>0</v>
      </c>
    </row>
    <row r="141" spans="1:29" s="233" customFormat="1" ht="14.25" customHeight="1" x14ac:dyDescent="0.25">
      <c r="A141" s="224">
        <f>SUM(A138+1)</f>
        <v>43</v>
      </c>
      <c r="B141" s="225" t="s">
        <v>95</v>
      </c>
      <c r="C141" s="226">
        <v>219</v>
      </c>
      <c r="D141" s="225" t="s">
        <v>96</v>
      </c>
      <c r="E141" s="454">
        <v>16</v>
      </c>
      <c r="F141" s="245">
        <v>37</v>
      </c>
      <c r="G141" s="258">
        <v>1939</v>
      </c>
      <c r="H141" s="237">
        <f>SUM(Лист1!G52)</f>
        <v>72437.02</v>
      </c>
      <c r="I141" s="237">
        <f>SUM(Лист1!H52)</f>
        <v>3919.68</v>
      </c>
      <c r="J141" s="237">
        <f>SUM(Лист1!I52)</f>
        <v>25.4</v>
      </c>
      <c r="K141" s="261"/>
      <c r="L141" s="261"/>
      <c r="M141" s="261"/>
      <c r="N141" s="261"/>
      <c r="O141" s="261"/>
      <c r="P141" s="261"/>
      <c r="Q141" s="261"/>
      <c r="R141" s="231">
        <f t="shared" si="10"/>
        <v>72437.02</v>
      </c>
      <c r="S141" s="231">
        <f>SUM(I141+O141-J141)</f>
        <v>3894.2799999999997</v>
      </c>
      <c r="T141" s="443">
        <f>S141-3*U141</f>
        <v>3818.08</v>
      </c>
      <c r="U141" s="445">
        <f t="shared" si="17"/>
        <v>25.4</v>
      </c>
      <c r="V141" s="443">
        <f t="shared" si="18"/>
        <v>68618.94</v>
      </c>
      <c r="W141" s="231">
        <f t="shared" si="6"/>
        <v>68542.740000000005</v>
      </c>
      <c r="X141" s="231">
        <f t="shared" si="20"/>
        <v>3868.8799999999997</v>
      </c>
      <c r="Y141" s="231">
        <f t="shared" si="21"/>
        <v>25.4</v>
      </c>
      <c r="Z141" s="232">
        <f t="shared" si="22"/>
        <v>68568.14</v>
      </c>
      <c r="AA141" s="22">
        <f t="shared" si="19"/>
        <v>0</v>
      </c>
      <c r="AB141" s="424">
        <f t="shared" si="23"/>
        <v>9.2370555648813024E-14</v>
      </c>
      <c r="AC141" s="424">
        <f t="shared" si="24"/>
        <v>0</v>
      </c>
    </row>
    <row r="142" spans="1:29" ht="14.25" customHeight="1" x14ac:dyDescent="0.25">
      <c r="A142" s="163"/>
      <c r="B142" s="167"/>
      <c r="C142" s="146"/>
      <c r="D142" s="161" t="s">
        <v>482</v>
      </c>
      <c r="E142" s="169"/>
      <c r="F142" s="205">
        <v>37</v>
      </c>
      <c r="G142" s="144"/>
      <c r="H142" s="148"/>
      <c r="I142" s="148"/>
      <c r="J142" s="148"/>
      <c r="K142" s="149"/>
      <c r="L142" s="149"/>
      <c r="M142" s="149"/>
      <c r="N142" s="149"/>
      <c r="O142" s="149"/>
      <c r="P142" s="149"/>
      <c r="Q142" s="149"/>
      <c r="R142" s="211"/>
      <c r="S142" s="211"/>
      <c r="T142" s="443"/>
      <c r="U142" s="445"/>
      <c r="V142" s="443"/>
      <c r="W142" s="211"/>
      <c r="X142" s="231">
        <f t="shared" si="20"/>
        <v>0</v>
      </c>
      <c r="Y142" s="231">
        <f t="shared" si="21"/>
        <v>0</v>
      </c>
      <c r="Z142" s="232">
        <f t="shared" si="22"/>
        <v>0</v>
      </c>
      <c r="AA142" s="22">
        <f t="shared" si="19"/>
        <v>0</v>
      </c>
      <c r="AB142" s="424">
        <f t="shared" si="23"/>
        <v>0</v>
      </c>
      <c r="AC142" s="424">
        <f t="shared" si="24"/>
        <v>0</v>
      </c>
    </row>
    <row r="143" spans="1:29" ht="14.25" customHeight="1" x14ac:dyDescent="0.25">
      <c r="A143" s="152"/>
      <c r="B143" s="143"/>
      <c r="C143" s="154"/>
      <c r="D143" s="143"/>
      <c r="E143" s="170"/>
      <c r="F143" s="206"/>
      <c r="G143" s="156"/>
      <c r="H143" s="157"/>
      <c r="I143" s="157"/>
      <c r="J143" s="157"/>
      <c r="K143" s="171"/>
      <c r="L143" s="171"/>
      <c r="M143" s="171"/>
      <c r="N143" s="171"/>
      <c r="O143" s="171"/>
      <c r="P143" s="171"/>
      <c r="Q143" s="171"/>
      <c r="R143" s="213"/>
      <c r="S143" s="213"/>
      <c r="T143" s="443"/>
      <c r="U143" s="445"/>
      <c r="V143" s="443"/>
      <c r="W143" s="213"/>
      <c r="X143" s="231">
        <f t="shared" si="20"/>
        <v>0</v>
      </c>
      <c r="Y143" s="231">
        <f t="shared" si="21"/>
        <v>0</v>
      </c>
      <c r="Z143" s="232">
        <f t="shared" si="22"/>
        <v>0</v>
      </c>
      <c r="AA143" s="22">
        <f t="shared" si="19"/>
        <v>0</v>
      </c>
      <c r="AB143" s="424">
        <f t="shared" si="23"/>
        <v>0</v>
      </c>
      <c r="AC143" s="424">
        <f t="shared" si="24"/>
        <v>0</v>
      </c>
    </row>
    <row r="144" spans="1:29" s="233" customFormat="1" ht="14.25" customHeight="1" x14ac:dyDescent="0.25">
      <c r="A144" s="224">
        <f>SUM(A141+1)</f>
        <v>44</v>
      </c>
      <c r="B144" s="225" t="s">
        <v>97</v>
      </c>
      <c r="C144" s="226">
        <v>243</v>
      </c>
      <c r="D144" s="225" t="s">
        <v>28</v>
      </c>
      <c r="E144" s="454">
        <v>7</v>
      </c>
      <c r="F144" s="252">
        <v>9.5</v>
      </c>
      <c r="G144" s="248">
        <v>1901</v>
      </c>
      <c r="H144" s="237">
        <f>SUM(Лист1!G53)</f>
        <v>3752.55</v>
      </c>
      <c r="I144" s="237">
        <f>SUM(Лист1!H53)</f>
        <v>0</v>
      </c>
      <c r="J144" s="237">
        <f>SUM(Лист1!I53)</f>
        <v>0</v>
      </c>
      <c r="K144" s="261"/>
      <c r="L144" s="261"/>
      <c r="M144" s="261"/>
      <c r="N144" s="261"/>
      <c r="O144" s="261"/>
      <c r="P144" s="261"/>
      <c r="Q144" s="261"/>
      <c r="R144" s="231">
        <f t="shared" si="10"/>
        <v>3752.55</v>
      </c>
      <c r="S144" s="231">
        <f>SUM(I144+O144-J144)</f>
        <v>0</v>
      </c>
      <c r="T144" s="443"/>
      <c r="U144" s="445"/>
      <c r="V144" s="443">
        <f t="shared" ref="V144:V205" si="25">R144-T144</f>
        <v>3752.55</v>
      </c>
      <c r="W144" s="238">
        <f t="shared" si="6"/>
        <v>3752.55</v>
      </c>
      <c r="X144" s="231">
        <f t="shared" si="20"/>
        <v>0</v>
      </c>
      <c r="Y144" s="231">
        <f t="shared" si="21"/>
        <v>0</v>
      </c>
      <c r="Z144" s="232">
        <f t="shared" si="22"/>
        <v>3752.55</v>
      </c>
      <c r="AA144" s="22">
        <f t="shared" si="19"/>
        <v>0</v>
      </c>
      <c r="AB144" s="424">
        <f t="shared" si="23"/>
        <v>0</v>
      </c>
      <c r="AC144" s="424">
        <f t="shared" si="24"/>
        <v>0</v>
      </c>
    </row>
    <row r="145" spans="1:29" ht="14.25" customHeight="1" x14ac:dyDescent="0.25">
      <c r="A145" s="163"/>
      <c r="B145" s="167"/>
      <c r="C145" s="146"/>
      <c r="D145" s="161" t="s">
        <v>473</v>
      </c>
      <c r="E145" s="169"/>
      <c r="F145" s="139">
        <v>9.5</v>
      </c>
      <c r="G145" s="249"/>
      <c r="H145" s="148"/>
      <c r="I145" s="148"/>
      <c r="J145" s="148"/>
      <c r="K145" s="149"/>
      <c r="L145" s="149"/>
      <c r="M145" s="149"/>
      <c r="N145" s="149"/>
      <c r="O145" s="149"/>
      <c r="P145" s="149"/>
      <c r="Q145" s="149"/>
      <c r="R145" s="211"/>
      <c r="S145" s="211"/>
      <c r="T145" s="443"/>
      <c r="U145" s="445"/>
      <c r="V145" s="443"/>
      <c r="W145" s="212"/>
      <c r="X145" s="231">
        <f t="shared" si="20"/>
        <v>0</v>
      </c>
      <c r="Y145" s="231">
        <f t="shared" si="21"/>
        <v>0</v>
      </c>
      <c r="Z145" s="232">
        <f t="shared" si="22"/>
        <v>0</v>
      </c>
      <c r="AA145" s="22">
        <f t="shared" si="19"/>
        <v>0</v>
      </c>
      <c r="AB145" s="424">
        <f t="shared" si="23"/>
        <v>0</v>
      </c>
      <c r="AC145" s="424">
        <f t="shared" si="24"/>
        <v>0</v>
      </c>
    </row>
    <row r="146" spans="1:29" ht="14.25" customHeight="1" x14ac:dyDescent="0.25">
      <c r="A146" s="152"/>
      <c r="B146" s="143"/>
      <c r="C146" s="154"/>
      <c r="D146" s="162"/>
      <c r="E146" s="170"/>
      <c r="F146" s="158"/>
      <c r="G146" s="142"/>
      <c r="H146" s="157"/>
      <c r="I146" s="157"/>
      <c r="J146" s="157"/>
      <c r="K146" s="171"/>
      <c r="L146" s="171"/>
      <c r="M146" s="171"/>
      <c r="N146" s="171"/>
      <c r="O146" s="171"/>
      <c r="P146" s="171"/>
      <c r="Q146" s="171"/>
      <c r="R146" s="213"/>
      <c r="S146" s="213"/>
      <c r="T146" s="443"/>
      <c r="U146" s="445"/>
      <c r="V146" s="443"/>
      <c r="W146" s="214"/>
      <c r="X146" s="231">
        <f t="shared" si="20"/>
        <v>0</v>
      </c>
      <c r="Y146" s="231">
        <f t="shared" si="21"/>
        <v>0</v>
      </c>
      <c r="Z146" s="232">
        <f t="shared" si="22"/>
        <v>0</v>
      </c>
      <c r="AA146" s="22">
        <f t="shared" si="19"/>
        <v>0</v>
      </c>
      <c r="AB146" s="424">
        <f t="shared" si="23"/>
        <v>0</v>
      </c>
      <c r="AC146" s="424">
        <f t="shared" si="24"/>
        <v>0</v>
      </c>
    </row>
    <row r="147" spans="1:29" s="329" customFormat="1" ht="14.25" customHeight="1" x14ac:dyDescent="0.25">
      <c r="A147" s="330">
        <f>SUM(A144+1)</f>
        <v>45</v>
      </c>
      <c r="B147" s="323" t="s">
        <v>98</v>
      </c>
      <c r="C147" s="452">
        <v>247</v>
      </c>
      <c r="D147" s="323" t="s">
        <v>99</v>
      </c>
      <c r="E147" s="460" t="s">
        <v>100</v>
      </c>
      <c r="F147" s="324">
        <v>79.900000000000006</v>
      </c>
      <c r="G147" s="331">
        <v>1939</v>
      </c>
      <c r="H147" s="326">
        <f>SUM(Лист1!G54)</f>
        <v>241183.04</v>
      </c>
      <c r="I147" s="326">
        <f>SUM(Лист1!H54)</f>
        <v>153215.16</v>
      </c>
      <c r="J147" s="326">
        <f>SUM(Лист1!I54)</f>
        <v>992.36</v>
      </c>
      <c r="K147" s="327"/>
      <c r="L147" s="327"/>
      <c r="M147" s="327"/>
      <c r="N147" s="327"/>
      <c r="O147" s="327"/>
      <c r="P147" s="327"/>
      <c r="Q147" s="327"/>
      <c r="R147" s="332">
        <f t="shared" si="10"/>
        <v>241183.04</v>
      </c>
      <c r="S147" s="231">
        <f>SUM(I147+O147-J147)</f>
        <v>152222.80000000002</v>
      </c>
      <c r="T147" s="443">
        <f>S147-3*U147</f>
        <v>149245.72000000003</v>
      </c>
      <c r="U147" s="445">
        <f t="shared" ref="U147:U205" si="26">J147+P147</f>
        <v>992.36</v>
      </c>
      <c r="V147" s="443">
        <f t="shared" si="25"/>
        <v>91937.319999999978</v>
      </c>
      <c r="W147" s="328">
        <f t="shared" si="6"/>
        <v>88960.239999999991</v>
      </c>
      <c r="X147" s="231">
        <f t="shared" si="20"/>
        <v>151230.44000000003</v>
      </c>
      <c r="Y147" s="231">
        <f t="shared" si="21"/>
        <v>992.36</v>
      </c>
      <c r="Z147" s="232">
        <f t="shared" si="22"/>
        <v>89952.599999999991</v>
      </c>
      <c r="AA147" s="22">
        <f t="shared" si="19"/>
        <v>0</v>
      </c>
      <c r="AB147" s="424">
        <f t="shared" si="23"/>
        <v>-1.3983481039758772E-11</v>
      </c>
      <c r="AC147" s="424">
        <f t="shared" si="24"/>
        <v>-1.4551915228366852E-11</v>
      </c>
    </row>
    <row r="148" spans="1:29" ht="14.25" customHeight="1" x14ac:dyDescent="0.25">
      <c r="A148" s="163"/>
      <c r="B148" s="167"/>
      <c r="C148" s="146"/>
      <c r="D148" s="167"/>
      <c r="E148" s="165"/>
      <c r="F148" s="139"/>
      <c r="G148" s="249"/>
      <c r="H148" s="148"/>
      <c r="I148" s="148"/>
      <c r="J148" s="148"/>
      <c r="K148" s="149"/>
      <c r="L148" s="149"/>
      <c r="M148" s="149"/>
      <c r="N148" s="149"/>
      <c r="O148" s="149"/>
      <c r="P148" s="149"/>
      <c r="Q148" s="149"/>
      <c r="R148" s="211"/>
      <c r="S148" s="211"/>
      <c r="T148" s="443">
        <f t="shared" ref="T148" si="27">S148-U148</f>
        <v>0</v>
      </c>
      <c r="U148" s="445">
        <f t="shared" si="26"/>
        <v>0</v>
      </c>
      <c r="V148" s="443">
        <f t="shared" si="25"/>
        <v>0</v>
      </c>
      <c r="W148" s="212"/>
      <c r="X148" s="231">
        <f t="shared" si="20"/>
        <v>0</v>
      </c>
      <c r="Y148" s="231">
        <f t="shared" si="21"/>
        <v>0</v>
      </c>
      <c r="Z148" s="232">
        <f t="shared" si="22"/>
        <v>0</v>
      </c>
      <c r="AA148" s="22">
        <f t="shared" si="19"/>
        <v>0</v>
      </c>
      <c r="AB148" s="424">
        <f t="shared" si="23"/>
        <v>0</v>
      </c>
      <c r="AC148" s="424">
        <f t="shared" si="24"/>
        <v>0</v>
      </c>
    </row>
    <row r="149" spans="1:29" ht="14.25" customHeight="1" x14ac:dyDescent="0.25">
      <c r="A149" s="163"/>
      <c r="B149" s="167"/>
      <c r="C149" s="146"/>
      <c r="D149" s="167"/>
      <c r="E149" s="165"/>
      <c r="F149" s="139"/>
      <c r="G149" s="249"/>
      <c r="H149" s="148"/>
      <c r="I149" s="148"/>
      <c r="J149" s="148"/>
      <c r="K149" s="149"/>
      <c r="L149" s="149"/>
      <c r="M149" s="149"/>
      <c r="N149" s="149"/>
      <c r="O149" s="149"/>
      <c r="P149" s="149"/>
      <c r="Q149" s="149"/>
      <c r="R149" s="211"/>
      <c r="S149" s="211"/>
      <c r="T149" s="443"/>
      <c r="U149" s="445"/>
      <c r="V149" s="443"/>
      <c r="W149" s="212"/>
      <c r="X149" s="231">
        <f t="shared" si="20"/>
        <v>0</v>
      </c>
      <c r="Y149" s="231">
        <f t="shared" si="21"/>
        <v>0</v>
      </c>
      <c r="Z149" s="232">
        <f t="shared" si="22"/>
        <v>0</v>
      </c>
      <c r="AA149" s="22">
        <f t="shared" si="19"/>
        <v>0</v>
      </c>
      <c r="AB149" s="424">
        <f t="shared" si="23"/>
        <v>0</v>
      </c>
      <c r="AC149" s="424">
        <f t="shared" si="24"/>
        <v>0</v>
      </c>
    </row>
    <row r="150" spans="1:29" ht="14.25" customHeight="1" x14ac:dyDescent="0.25">
      <c r="A150" s="152"/>
      <c r="B150" s="143"/>
      <c r="C150" s="154"/>
      <c r="D150" s="143"/>
      <c r="E150" s="166"/>
      <c r="F150" s="158"/>
      <c r="G150" s="142"/>
      <c r="H150" s="157"/>
      <c r="I150" s="157"/>
      <c r="J150" s="157"/>
      <c r="K150" s="171"/>
      <c r="L150" s="171"/>
      <c r="M150" s="171"/>
      <c r="N150" s="171"/>
      <c r="O150" s="171"/>
      <c r="P150" s="171"/>
      <c r="Q150" s="171"/>
      <c r="R150" s="213"/>
      <c r="S150" s="213"/>
      <c r="T150" s="443"/>
      <c r="U150" s="445"/>
      <c r="V150" s="443"/>
      <c r="W150" s="214"/>
      <c r="X150" s="231">
        <f t="shared" si="20"/>
        <v>0</v>
      </c>
      <c r="Y150" s="231">
        <f t="shared" si="21"/>
        <v>0</v>
      </c>
      <c r="Z150" s="232">
        <f t="shared" si="22"/>
        <v>0</v>
      </c>
      <c r="AA150" s="22">
        <f t="shared" si="19"/>
        <v>0</v>
      </c>
      <c r="AB150" s="424">
        <f t="shared" si="23"/>
        <v>0</v>
      </c>
      <c r="AC150" s="424">
        <f t="shared" si="24"/>
        <v>0</v>
      </c>
    </row>
    <row r="151" spans="1:29" s="233" customFormat="1" ht="14.25" customHeight="1" x14ac:dyDescent="0.25">
      <c r="A151" s="224">
        <f>SUM(A147+1)</f>
        <v>46</v>
      </c>
      <c r="B151" s="225" t="s">
        <v>101</v>
      </c>
      <c r="C151" s="226">
        <v>249</v>
      </c>
      <c r="D151" s="225" t="s">
        <v>102</v>
      </c>
      <c r="E151" s="454">
        <v>55</v>
      </c>
      <c r="F151" s="252">
        <v>321.8</v>
      </c>
      <c r="G151" s="248">
        <v>1988</v>
      </c>
      <c r="H151" s="237">
        <f>SUM(Лист1!G55)</f>
        <v>302340.65000000002</v>
      </c>
      <c r="I151" s="237">
        <f>SUM(Лист1!H55)</f>
        <v>225595.27</v>
      </c>
      <c r="J151" s="237">
        <f>SUM(Лист1!I55)</f>
        <v>261.04000000000002</v>
      </c>
      <c r="K151" s="261"/>
      <c r="L151" s="261"/>
      <c r="M151" s="261"/>
      <c r="N151" s="261"/>
      <c r="O151" s="261"/>
      <c r="P151" s="261"/>
      <c r="Q151" s="261"/>
      <c r="R151" s="231">
        <f t="shared" si="10"/>
        <v>302340.65000000002</v>
      </c>
      <c r="S151" s="231">
        <f>SUM(I151+O151-J151)</f>
        <v>225334.22999999998</v>
      </c>
      <c r="T151" s="443">
        <f>S151-3*U151</f>
        <v>224551.11</v>
      </c>
      <c r="U151" s="445">
        <f t="shared" si="26"/>
        <v>261.04000000000002</v>
      </c>
      <c r="V151" s="443">
        <f t="shared" si="25"/>
        <v>77789.540000000037</v>
      </c>
      <c r="W151" s="238">
        <f t="shared" si="6"/>
        <v>77006.420000000042</v>
      </c>
      <c r="X151" s="231">
        <f t="shared" si="20"/>
        <v>225073.18999999997</v>
      </c>
      <c r="Y151" s="231">
        <f t="shared" si="21"/>
        <v>261.04000000000002</v>
      </c>
      <c r="Z151" s="232">
        <f t="shared" si="22"/>
        <v>77267.460000000036</v>
      </c>
      <c r="AA151" s="22">
        <f t="shared" si="19"/>
        <v>0</v>
      </c>
      <c r="AB151" s="424">
        <f t="shared" si="23"/>
        <v>8.1286088970955461E-12</v>
      </c>
      <c r="AC151" s="424">
        <f t="shared" si="24"/>
        <v>1.4551915228366852E-11</v>
      </c>
    </row>
    <row r="152" spans="1:29" ht="14.25" customHeight="1" x14ac:dyDescent="0.25">
      <c r="A152" s="163"/>
      <c r="B152" s="167"/>
      <c r="C152" s="146"/>
      <c r="D152" s="335" t="s">
        <v>518</v>
      </c>
      <c r="E152" s="169"/>
      <c r="F152" s="139"/>
      <c r="G152" s="249"/>
      <c r="H152" s="148"/>
      <c r="I152" s="148"/>
      <c r="J152" s="148"/>
      <c r="K152" s="149"/>
      <c r="L152" s="149"/>
      <c r="M152" s="149"/>
      <c r="N152" s="149"/>
      <c r="O152" s="149"/>
      <c r="P152" s="149"/>
      <c r="Q152" s="149"/>
      <c r="R152" s="211"/>
      <c r="S152" s="211"/>
      <c r="T152" s="443"/>
      <c r="U152" s="445"/>
      <c r="V152" s="443"/>
      <c r="W152" s="212"/>
      <c r="X152" s="231">
        <f t="shared" si="20"/>
        <v>0</v>
      </c>
      <c r="Y152" s="231">
        <f t="shared" si="21"/>
        <v>0</v>
      </c>
      <c r="Z152" s="232">
        <f t="shared" si="22"/>
        <v>0</v>
      </c>
      <c r="AA152" s="22">
        <f t="shared" si="19"/>
        <v>0</v>
      </c>
      <c r="AB152" s="424">
        <f t="shared" si="23"/>
        <v>0</v>
      </c>
      <c r="AC152" s="424">
        <f t="shared" si="24"/>
        <v>0</v>
      </c>
    </row>
    <row r="153" spans="1:29" ht="14.25" customHeight="1" x14ac:dyDescent="0.25">
      <c r="A153" s="163"/>
      <c r="B153" s="167"/>
      <c r="C153" s="146"/>
      <c r="D153" s="336" t="s">
        <v>511</v>
      </c>
      <c r="E153" s="169"/>
      <c r="F153" s="139">
        <v>35.5</v>
      </c>
      <c r="G153" s="249"/>
      <c r="H153" s="148"/>
      <c r="I153" s="148"/>
      <c r="J153" s="148"/>
      <c r="K153" s="149"/>
      <c r="L153" s="149"/>
      <c r="M153" s="149"/>
      <c r="N153" s="149"/>
      <c r="O153" s="149"/>
      <c r="P153" s="149"/>
      <c r="Q153" s="149"/>
      <c r="R153" s="211">
        <f>$R$151/$F$151*F153</f>
        <v>33353.30352703543</v>
      </c>
      <c r="S153" s="211">
        <f>225334.23/321.8*F153</f>
        <v>24858.188828464885</v>
      </c>
      <c r="T153" s="443">
        <f t="shared" ref="T153:T160" si="28">$T$151/$F$151*F153</f>
        <v>24771.797405220634</v>
      </c>
      <c r="U153" s="445"/>
      <c r="V153" s="443">
        <f t="shared" si="25"/>
        <v>8581.5061218147966</v>
      </c>
      <c r="W153" s="212">
        <f>SUM(R153-S153)</f>
        <v>8495.1146985705454</v>
      </c>
      <c r="X153" s="231">
        <f t="shared" si="20"/>
        <v>24858.188828464885</v>
      </c>
      <c r="Y153" s="231">
        <f t="shared" si="21"/>
        <v>0</v>
      </c>
      <c r="Z153" s="232">
        <f t="shared" si="22"/>
        <v>8495.1146985705454</v>
      </c>
      <c r="AA153" s="22">
        <f t="shared" si="19"/>
        <v>0</v>
      </c>
      <c r="AB153" s="424">
        <f t="shared" si="23"/>
        <v>0</v>
      </c>
      <c r="AC153" s="424">
        <f t="shared" si="24"/>
        <v>0</v>
      </c>
    </row>
    <row r="154" spans="1:29" ht="14.25" customHeight="1" x14ac:dyDescent="0.25">
      <c r="A154" s="163"/>
      <c r="B154" s="167"/>
      <c r="C154" s="146"/>
      <c r="D154" s="336" t="s">
        <v>509</v>
      </c>
      <c r="E154" s="169"/>
      <c r="F154" s="139">
        <v>28</v>
      </c>
      <c r="G154" s="249"/>
      <c r="H154" s="148"/>
      <c r="I154" s="148"/>
      <c r="J154" s="148"/>
      <c r="K154" s="149"/>
      <c r="L154" s="149"/>
      <c r="M154" s="149"/>
      <c r="N154" s="149"/>
      <c r="O154" s="149"/>
      <c r="P154" s="149"/>
      <c r="Q154" s="149"/>
      <c r="R154" s="211">
        <f t="shared" ref="R154:R160" si="29">$R$151/$F$151*F154</f>
        <v>26306.830950901181</v>
      </c>
      <c r="S154" s="211">
        <f t="shared" ref="S154:S160" si="30">225334.23/321.8*F154</f>
        <v>19606.458794282164</v>
      </c>
      <c r="T154" s="443">
        <f t="shared" si="28"/>
        <v>19538.31908017402</v>
      </c>
      <c r="U154" s="445"/>
      <c r="V154" s="443">
        <f t="shared" si="25"/>
        <v>6768.5118707271613</v>
      </c>
      <c r="W154" s="212">
        <f t="shared" ref="W154:W160" si="31">SUM(R154-S154)</f>
        <v>6700.3721566190179</v>
      </c>
      <c r="X154" s="231">
        <f t="shared" si="20"/>
        <v>19606.458794282164</v>
      </c>
      <c r="Y154" s="231">
        <f t="shared" si="21"/>
        <v>0</v>
      </c>
      <c r="Z154" s="232">
        <f t="shared" si="22"/>
        <v>6700.3721566190179</v>
      </c>
      <c r="AA154" s="22">
        <f t="shared" si="19"/>
        <v>0</v>
      </c>
      <c r="AB154" s="424">
        <f t="shared" si="23"/>
        <v>0</v>
      </c>
      <c r="AC154" s="424">
        <f t="shared" si="24"/>
        <v>0</v>
      </c>
    </row>
    <row r="155" spans="1:29" ht="14.25" customHeight="1" x14ac:dyDescent="0.25">
      <c r="A155" s="163"/>
      <c r="B155" s="167"/>
      <c r="C155" s="146"/>
      <c r="D155" s="336" t="s">
        <v>512</v>
      </c>
      <c r="E155" s="169"/>
      <c r="F155" s="139">
        <v>47.3</v>
      </c>
      <c r="G155" s="249"/>
      <c r="H155" s="148"/>
      <c r="I155" s="148"/>
      <c r="J155" s="148"/>
      <c r="K155" s="149"/>
      <c r="L155" s="149"/>
      <c r="M155" s="149"/>
      <c r="N155" s="149"/>
      <c r="O155" s="149"/>
      <c r="P155" s="149"/>
      <c r="Q155" s="149"/>
      <c r="R155" s="211">
        <f t="shared" si="29"/>
        <v>44439.753713486636</v>
      </c>
      <c r="S155" s="211">
        <f t="shared" si="30"/>
        <v>33120.910748912363</v>
      </c>
      <c r="T155" s="443">
        <f t="shared" si="28"/>
        <v>33005.803303293971</v>
      </c>
      <c r="U155" s="445"/>
      <c r="V155" s="443">
        <f t="shared" si="25"/>
        <v>11433.950410192665</v>
      </c>
      <c r="W155" s="212">
        <f t="shared" si="31"/>
        <v>11318.842964574273</v>
      </c>
      <c r="X155" s="231">
        <f t="shared" si="20"/>
        <v>33120.910748912363</v>
      </c>
      <c r="Y155" s="231">
        <f t="shared" si="21"/>
        <v>0</v>
      </c>
      <c r="Z155" s="232">
        <f t="shared" si="22"/>
        <v>11318.842964574273</v>
      </c>
      <c r="AA155" s="22">
        <f t="shared" si="19"/>
        <v>0</v>
      </c>
      <c r="AB155" s="424">
        <f t="shared" si="23"/>
        <v>0</v>
      </c>
      <c r="AC155" s="424">
        <f t="shared" si="24"/>
        <v>0</v>
      </c>
    </row>
    <row r="156" spans="1:29" ht="14.25" customHeight="1" x14ac:dyDescent="0.25">
      <c r="A156" s="163"/>
      <c r="B156" s="167"/>
      <c r="C156" s="146"/>
      <c r="D156" s="336" t="s">
        <v>513</v>
      </c>
      <c r="E156" s="169"/>
      <c r="F156" s="139">
        <v>60.9</v>
      </c>
      <c r="G156" s="249"/>
      <c r="H156" s="148"/>
      <c r="I156" s="148"/>
      <c r="J156" s="148"/>
      <c r="K156" s="149"/>
      <c r="L156" s="149"/>
      <c r="M156" s="149"/>
      <c r="N156" s="149"/>
      <c r="O156" s="149"/>
      <c r="P156" s="149"/>
      <c r="Q156" s="149"/>
      <c r="R156" s="211">
        <f t="shared" si="29"/>
        <v>57217.357318210074</v>
      </c>
      <c r="S156" s="211">
        <f t="shared" si="30"/>
        <v>42644.047877563702</v>
      </c>
      <c r="T156" s="443">
        <f t="shared" si="28"/>
        <v>42495.843999378492</v>
      </c>
      <c r="U156" s="445"/>
      <c r="V156" s="443">
        <f t="shared" si="25"/>
        <v>14721.513318831581</v>
      </c>
      <c r="W156" s="212">
        <f t="shared" si="31"/>
        <v>14573.309440646372</v>
      </c>
      <c r="X156" s="231">
        <f t="shared" si="20"/>
        <v>42644.047877563702</v>
      </c>
      <c r="Y156" s="231">
        <f t="shared" si="21"/>
        <v>0</v>
      </c>
      <c r="Z156" s="232">
        <f t="shared" si="22"/>
        <v>14573.309440646372</v>
      </c>
      <c r="AA156" s="22">
        <f t="shared" si="19"/>
        <v>0</v>
      </c>
      <c r="AB156" s="424">
        <f t="shared" si="23"/>
        <v>0</v>
      </c>
      <c r="AC156" s="424">
        <f t="shared" si="24"/>
        <v>0</v>
      </c>
    </row>
    <row r="157" spans="1:29" ht="14.25" customHeight="1" x14ac:dyDescent="0.25">
      <c r="A157" s="163"/>
      <c r="B157" s="167"/>
      <c r="C157" s="146"/>
      <c r="D157" s="336" t="s">
        <v>514</v>
      </c>
      <c r="E157" s="169"/>
      <c r="F157" s="139">
        <v>36.299999999999997</v>
      </c>
      <c r="G157" s="249"/>
      <c r="H157" s="148"/>
      <c r="I157" s="148"/>
      <c r="J157" s="148"/>
      <c r="K157" s="149"/>
      <c r="L157" s="149"/>
      <c r="M157" s="149"/>
      <c r="N157" s="149"/>
      <c r="O157" s="149"/>
      <c r="P157" s="149"/>
      <c r="Q157" s="149"/>
      <c r="R157" s="211">
        <f t="shared" si="29"/>
        <v>34104.927268489744</v>
      </c>
      <c r="S157" s="211">
        <f t="shared" si="30"/>
        <v>25418.373365444371</v>
      </c>
      <c r="T157" s="443">
        <f t="shared" si="28"/>
        <v>25330.035093225604</v>
      </c>
      <c r="U157" s="445"/>
      <c r="V157" s="443">
        <f t="shared" si="25"/>
        <v>8774.89217526414</v>
      </c>
      <c r="W157" s="212">
        <f t="shared" si="31"/>
        <v>8686.5539030453729</v>
      </c>
      <c r="X157" s="231">
        <f t="shared" si="20"/>
        <v>25418.373365444371</v>
      </c>
      <c r="Y157" s="231">
        <f t="shared" si="21"/>
        <v>0</v>
      </c>
      <c r="Z157" s="232">
        <f t="shared" si="22"/>
        <v>8686.5539030453729</v>
      </c>
      <c r="AA157" s="22">
        <f t="shared" si="19"/>
        <v>0</v>
      </c>
      <c r="AB157" s="424">
        <f t="shared" si="23"/>
        <v>0</v>
      </c>
      <c r="AC157" s="424">
        <f t="shared" si="24"/>
        <v>0</v>
      </c>
    </row>
    <row r="158" spans="1:29" ht="14.25" customHeight="1" x14ac:dyDescent="0.25">
      <c r="A158" s="163"/>
      <c r="B158" s="167"/>
      <c r="C158" s="146"/>
      <c r="D158" s="336" t="s">
        <v>515</v>
      </c>
      <c r="E158" s="169"/>
      <c r="F158" s="139">
        <v>43.7</v>
      </c>
      <c r="G158" s="249"/>
      <c r="H158" s="148"/>
      <c r="I158" s="148"/>
      <c r="J158" s="148"/>
      <c r="K158" s="149"/>
      <c r="L158" s="149"/>
      <c r="M158" s="149"/>
      <c r="N158" s="149"/>
      <c r="O158" s="149"/>
      <c r="P158" s="149"/>
      <c r="Q158" s="149"/>
      <c r="R158" s="211">
        <f t="shared" si="29"/>
        <v>41057.446876942202</v>
      </c>
      <c r="S158" s="211">
        <f t="shared" si="30"/>
        <v>30600.080332504662</v>
      </c>
      <c r="T158" s="443">
        <f t="shared" si="28"/>
        <v>30493.733707271596</v>
      </c>
      <c r="U158" s="445"/>
      <c r="V158" s="443">
        <f t="shared" si="25"/>
        <v>10563.713169670606</v>
      </c>
      <c r="W158" s="212">
        <f t="shared" si="31"/>
        <v>10457.36654443754</v>
      </c>
      <c r="X158" s="231">
        <f t="shared" si="20"/>
        <v>30600.080332504662</v>
      </c>
      <c r="Y158" s="231">
        <f t="shared" si="21"/>
        <v>0</v>
      </c>
      <c r="Z158" s="232">
        <f t="shared" si="22"/>
        <v>10457.36654443754</v>
      </c>
      <c r="AA158" s="22">
        <f t="shared" si="19"/>
        <v>0</v>
      </c>
      <c r="AB158" s="424">
        <f t="shared" si="23"/>
        <v>0</v>
      </c>
      <c r="AC158" s="424">
        <f t="shared" si="24"/>
        <v>0</v>
      </c>
    </row>
    <row r="159" spans="1:29" ht="14.25" customHeight="1" x14ac:dyDescent="0.25">
      <c r="A159" s="163"/>
      <c r="B159" s="167"/>
      <c r="C159" s="146"/>
      <c r="D159" s="336" t="s">
        <v>516</v>
      </c>
      <c r="E159" s="169"/>
      <c r="F159" s="139">
        <v>38.6</v>
      </c>
      <c r="G159" s="249"/>
      <c r="H159" s="148"/>
      <c r="I159" s="148"/>
      <c r="J159" s="148"/>
      <c r="K159" s="149"/>
      <c r="L159" s="149"/>
      <c r="M159" s="149"/>
      <c r="N159" s="149"/>
      <c r="O159" s="149"/>
      <c r="P159" s="149"/>
      <c r="Q159" s="149"/>
      <c r="R159" s="211">
        <f t="shared" si="29"/>
        <v>36265.845525170917</v>
      </c>
      <c r="S159" s="211">
        <f t="shared" si="30"/>
        <v>27028.903909260411</v>
      </c>
      <c r="T159" s="443">
        <f t="shared" si="28"/>
        <v>26934.968446239902</v>
      </c>
      <c r="U159" s="445"/>
      <c r="V159" s="443">
        <f t="shared" si="25"/>
        <v>9330.8770789310147</v>
      </c>
      <c r="W159" s="212">
        <f t="shared" si="31"/>
        <v>9236.9416159105058</v>
      </c>
      <c r="X159" s="231">
        <f t="shared" si="20"/>
        <v>27028.903909260411</v>
      </c>
      <c r="Y159" s="231">
        <f t="shared" si="21"/>
        <v>0</v>
      </c>
      <c r="Z159" s="232">
        <f t="shared" si="22"/>
        <v>9236.9416159105058</v>
      </c>
      <c r="AA159" s="22">
        <f t="shared" si="19"/>
        <v>0</v>
      </c>
      <c r="AB159" s="424">
        <f t="shared" si="23"/>
        <v>0</v>
      </c>
      <c r="AC159" s="424">
        <f t="shared" si="24"/>
        <v>0</v>
      </c>
    </row>
    <row r="160" spans="1:29" ht="14.25" customHeight="1" x14ac:dyDescent="0.25">
      <c r="A160" s="163"/>
      <c r="B160" s="167"/>
      <c r="C160" s="146"/>
      <c r="D160" s="336" t="s">
        <v>517</v>
      </c>
      <c r="E160" s="169"/>
      <c r="F160" s="139">
        <v>31.5</v>
      </c>
      <c r="G160" s="205"/>
      <c r="H160" s="148"/>
      <c r="I160" s="148"/>
      <c r="J160" s="148"/>
      <c r="K160" s="149"/>
      <c r="L160" s="149"/>
      <c r="M160" s="149"/>
      <c r="N160" s="149"/>
      <c r="O160" s="149"/>
      <c r="P160" s="149"/>
      <c r="Q160" s="149"/>
      <c r="R160" s="211">
        <f t="shared" si="29"/>
        <v>29595.184819763832</v>
      </c>
      <c r="S160" s="211">
        <f t="shared" si="30"/>
        <v>22057.266143567431</v>
      </c>
      <c r="T160" s="443">
        <f t="shared" si="28"/>
        <v>21980.608965195774</v>
      </c>
      <c r="U160" s="445"/>
      <c r="V160" s="443">
        <f t="shared" si="25"/>
        <v>7614.5758545680583</v>
      </c>
      <c r="W160" s="212">
        <f t="shared" si="31"/>
        <v>7537.9186761964011</v>
      </c>
      <c r="X160" s="231">
        <f t="shared" si="20"/>
        <v>22057.266143567431</v>
      </c>
      <c r="Y160" s="231">
        <f t="shared" si="21"/>
        <v>0</v>
      </c>
      <c r="Z160" s="232">
        <f t="shared" si="22"/>
        <v>7537.9186761964011</v>
      </c>
      <c r="AA160" s="22">
        <f t="shared" si="19"/>
        <v>0</v>
      </c>
      <c r="AB160" s="424">
        <f t="shared" si="23"/>
        <v>0</v>
      </c>
      <c r="AC160" s="424">
        <f t="shared" si="24"/>
        <v>0</v>
      </c>
    </row>
    <row r="161" spans="1:29" ht="14.25" customHeight="1" x14ac:dyDescent="0.25">
      <c r="A161" s="173"/>
      <c r="B161" s="162"/>
      <c r="C161" s="271"/>
      <c r="D161" s="162"/>
      <c r="E161" s="461"/>
      <c r="F161" s="334"/>
      <c r="G161" s="162"/>
      <c r="H161" s="171"/>
      <c r="I161" s="171"/>
      <c r="J161" s="171"/>
      <c r="K161" s="171"/>
      <c r="L161" s="171"/>
      <c r="M161" s="171"/>
      <c r="N161" s="171"/>
      <c r="O161" s="171"/>
      <c r="P161" s="171"/>
      <c r="Q161" s="171"/>
      <c r="R161" s="213"/>
      <c r="S161" s="213"/>
      <c r="T161" s="443"/>
      <c r="U161" s="445"/>
      <c r="V161" s="443"/>
      <c r="W161" s="214"/>
      <c r="X161" s="231">
        <f t="shared" si="20"/>
        <v>0</v>
      </c>
      <c r="Y161" s="231">
        <f t="shared" si="21"/>
        <v>0</v>
      </c>
      <c r="Z161" s="232">
        <f t="shared" si="22"/>
        <v>0</v>
      </c>
      <c r="AA161" s="22">
        <f t="shared" si="19"/>
        <v>0</v>
      </c>
      <c r="AB161" s="424">
        <f t="shared" si="23"/>
        <v>0</v>
      </c>
      <c r="AC161" s="424">
        <f t="shared" si="24"/>
        <v>0</v>
      </c>
    </row>
    <row r="162" spans="1:29" s="409" customFormat="1" ht="14.25" customHeight="1" x14ac:dyDescent="0.25">
      <c r="A162" s="431">
        <f>SUM(A151+1)</f>
        <v>47</v>
      </c>
      <c r="B162" s="400" t="s">
        <v>103</v>
      </c>
      <c r="C162" s="432">
        <v>253</v>
      </c>
      <c r="D162" s="400" t="s">
        <v>104</v>
      </c>
      <c r="E162" s="401">
        <v>26</v>
      </c>
      <c r="F162" s="402">
        <v>73.08</v>
      </c>
      <c r="G162" s="403">
        <v>1983</v>
      </c>
      <c r="H162" s="404">
        <f>SUM(Лист1!G56)</f>
        <v>153700.56</v>
      </c>
      <c r="I162" s="404">
        <f>SUM(Лист1!H56)</f>
        <v>59288.32</v>
      </c>
      <c r="J162" s="404">
        <f>SUM(Лист1!I56)</f>
        <v>83.33</v>
      </c>
      <c r="K162" s="405"/>
      <c r="L162" s="405"/>
      <c r="M162" s="405"/>
      <c r="N162" s="406">
        <v>1212.81</v>
      </c>
      <c r="O162" s="406">
        <v>1037.92</v>
      </c>
      <c r="P162" s="407">
        <v>1.38</v>
      </c>
      <c r="Q162" s="405"/>
      <c r="R162" s="231">
        <f t="shared" si="10"/>
        <v>154913.37</v>
      </c>
      <c r="S162" s="231">
        <f>SUM(I162+O162-J162)</f>
        <v>60242.909999999996</v>
      </c>
      <c r="T162" s="443">
        <f>S162-3*U162</f>
        <v>59988.78</v>
      </c>
      <c r="U162" s="445">
        <f t="shared" si="26"/>
        <v>84.71</v>
      </c>
      <c r="V162" s="443">
        <f t="shared" si="25"/>
        <v>94924.59</v>
      </c>
      <c r="W162" s="408">
        <f t="shared" si="6"/>
        <v>94670.459999999992</v>
      </c>
      <c r="X162" s="231">
        <f t="shared" si="20"/>
        <v>60158.2</v>
      </c>
      <c r="Y162" s="231">
        <f t="shared" si="21"/>
        <v>84.71</v>
      </c>
      <c r="Z162" s="232">
        <f t="shared" si="22"/>
        <v>94755.17</v>
      </c>
      <c r="AA162" s="22">
        <f t="shared" si="19"/>
        <v>0</v>
      </c>
      <c r="AB162" s="424">
        <f t="shared" si="23"/>
        <v>-8.6686213762732223E-13</v>
      </c>
      <c r="AC162" s="424">
        <f t="shared" si="24"/>
        <v>0</v>
      </c>
    </row>
    <row r="163" spans="1:29" s="421" customFormat="1" ht="14.25" customHeight="1" x14ac:dyDescent="0.25">
      <c r="A163" s="410"/>
      <c r="B163" s="411"/>
      <c r="C163" s="412"/>
      <c r="D163" s="411" t="s">
        <v>505</v>
      </c>
      <c r="E163" s="413"/>
      <c r="F163" s="414">
        <v>60.28</v>
      </c>
      <c r="G163" s="415"/>
      <c r="H163" s="416"/>
      <c r="I163" s="416"/>
      <c r="J163" s="416"/>
      <c r="K163" s="417"/>
      <c r="L163" s="417"/>
      <c r="M163" s="417"/>
      <c r="N163" s="418"/>
      <c r="O163" s="418"/>
      <c r="P163" s="419"/>
      <c r="Q163" s="417"/>
      <c r="R163" s="420">
        <f>R162/F162*F163</f>
        <v>127780.21269293925</v>
      </c>
      <c r="S163" s="420">
        <f>S162/F162*F163</f>
        <v>49691.332988505746</v>
      </c>
      <c r="T163" s="443">
        <f>$T$162/$F$162*F163</f>
        <v>49481.713990147786</v>
      </c>
      <c r="U163" s="445"/>
      <c r="V163" s="443">
        <f t="shared" si="25"/>
        <v>78298.498702791461</v>
      </c>
      <c r="W163" s="420">
        <f>W162/F162*F163</f>
        <v>78088.879704433493</v>
      </c>
      <c r="X163" s="231">
        <f t="shared" si="20"/>
        <v>49691.332988505746</v>
      </c>
      <c r="Y163" s="231">
        <f t="shared" si="21"/>
        <v>0</v>
      </c>
      <c r="Z163" s="232">
        <f t="shared" si="22"/>
        <v>78088.879704433493</v>
      </c>
      <c r="AA163" s="22">
        <f t="shared" si="19"/>
        <v>0</v>
      </c>
      <c r="AB163" s="424">
        <f t="shared" si="23"/>
        <v>0</v>
      </c>
      <c r="AC163" s="424">
        <f t="shared" si="24"/>
        <v>1.4551915228366852E-11</v>
      </c>
    </row>
    <row r="164" spans="1:29" ht="14.25" customHeight="1" x14ac:dyDescent="0.25">
      <c r="A164" s="163"/>
      <c r="B164" s="167"/>
      <c r="C164" s="146"/>
      <c r="D164" s="161" t="s">
        <v>473</v>
      </c>
      <c r="E164" s="147"/>
      <c r="F164" s="205">
        <v>12.8</v>
      </c>
      <c r="G164" s="249"/>
      <c r="H164" s="148"/>
      <c r="I164" s="148"/>
      <c r="J164" s="148"/>
      <c r="K164" s="149"/>
      <c r="L164" s="149"/>
      <c r="M164" s="149"/>
      <c r="N164" s="139"/>
      <c r="O164" s="139"/>
      <c r="P164" s="140"/>
      <c r="Q164" s="149"/>
      <c r="R164" s="211">
        <f>R162/F162*F164</f>
        <v>27133.157307060756</v>
      </c>
      <c r="S164" s="211">
        <f>S162/F162*F164</f>
        <v>10551.577011494253</v>
      </c>
      <c r="T164" s="443">
        <f>$T$162/$F$162*F164</f>
        <v>10507.066009852218</v>
      </c>
      <c r="U164" s="445"/>
      <c r="V164" s="443">
        <f t="shared" si="25"/>
        <v>16626.091297208535</v>
      </c>
      <c r="W164" s="211">
        <f>W162/F162*F164</f>
        <v>16581.580295566502</v>
      </c>
      <c r="X164" s="231">
        <f t="shared" si="20"/>
        <v>10551.577011494253</v>
      </c>
      <c r="Y164" s="231">
        <f t="shared" si="21"/>
        <v>0</v>
      </c>
      <c r="Z164" s="232">
        <f t="shared" si="22"/>
        <v>16581.580295566502</v>
      </c>
      <c r="AA164" s="22">
        <f t="shared" si="19"/>
        <v>0</v>
      </c>
      <c r="AB164" s="424">
        <f t="shared" si="23"/>
        <v>0</v>
      </c>
      <c r="AC164" s="424">
        <f t="shared" si="24"/>
        <v>0</v>
      </c>
    </row>
    <row r="165" spans="1:29" ht="14.25" customHeight="1" x14ac:dyDescent="0.25">
      <c r="A165" s="152"/>
      <c r="B165" s="143"/>
      <c r="C165" s="154"/>
      <c r="D165" s="143"/>
      <c r="E165" s="155"/>
      <c r="F165" s="206"/>
      <c r="G165" s="142"/>
      <c r="H165" s="157"/>
      <c r="I165" s="157"/>
      <c r="J165" s="157"/>
      <c r="K165" s="171"/>
      <c r="L165" s="171"/>
      <c r="M165" s="171"/>
      <c r="N165" s="158"/>
      <c r="O165" s="158"/>
      <c r="P165" s="159"/>
      <c r="Q165" s="171"/>
      <c r="R165" s="213"/>
      <c r="S165" s="213"/>
      <c r="T165" s="443"/>
      <c r="U165" s="445"/>
      <c r="V165" s="443"/>
      <c r="W165" s="213"/>
      <c r="X165" s="231">
        <f t="shared" si="20"/>
        <v>0</v>
      </c>
      <c r="Y165" s="231">
        <f t="shared" si="21"/>
        <v>0</v>
      </c>
      <c r="Z165" s="232">
        <f t="shared" si="22"/>
        <v>0</v>
      </c>
      <c r="AA165" s="22">
        <f t="shared" si="19"/>
        <v>0</v>
      </c>
      <c r="AB165" s="424">
        <f t="shared" si="23"/>
        <v>0</v>
      </c>
      <c r="AC165" s="424">
        <f t="shared" si="24"/>
        <v>0</v>
      </c>
    </row>
    <row r="166" spans="1:29" s="257" customFormat="1" ht="14.25" customHeight="1" x14ac:dyDescent="0.25">
      <c r="A166" s="224">
        <f>SUM(A162+1)</f>
        <v>48</v>
      </c>
      <c r="B166" s="225" t="s">
        <v>105</v>
      </c>
      <c r="C166" s="226">
        <v>254</v>
      </c>
      <c r="D166" s="225" t="s">
        <v>104</v>
      </c>
      <c r="E166" s="454">
        <v>22</v>
      </c>
      <c r="F166" s="252">
        <f>F168+F169</f>
        <v>109.72999999999999</v>
      </c>
      <c r="G166" s="248">
        <v>1984</v>
      </c>
      <c r="H166" s="237">
        <f>SUM(Лист1!G57)</f>
        <v>175382.51</v>
      </c>
      <c r="I166" s="237">
        <f>SUM(Лист1!H57)</f>
        <v>68925.2</v>
      </c>
      <c r="J166" s="237">
        <f>SUM(Лист1!I57)</f>
        <v>93.33</v>
      </c>
      <c r="K166" s="261"/>
      <c r="L166" s="261"/>
      <c r="M166" s="261"/>
      <c r="N166" s="252">
        <v>1030.06</v>
      </c>
      <c r="O166" s="259">
        <v>889.61</v>
      </c>
      <c r="P166" s="259">
        <v>1.1599999999999999</v>
      </c>
      <c r="Q166" s="261"/>
      <c r="R166" s="231">
        <f t="shared" si="10"/>
        <v>176412.57</v>
      </c>
      <c r="S166" s="231">
        <f>SUM(I166+O166-J166)</f>
        <v>69721.48</v>
      </c>
      <c r="T166" s="443">
        <f>S166-3*U166</f>
        <v>69438.009999999995</v>
      </c>
      <c r="U166" s="445">
        <f t="shared" si="26"/>
        <v>94.49</v>
      </c>
      <c r="V166" s="443">
        <f t="shared" si="25"/>
        <v>106974.56000000001</v>
      </c>
      <c r="W166" s="238">
        <f t="shared" si="6"/>
        <v>106691.09000000001</v>
      </c>
      <c r="X166" s="231">
        <f t="shared" si="20"/>
        <v>69626.989999999991</v>
      </c>
      <c r="Y166" s="231">
        <f t="shared" si="21"/>
        <v>94.49</v>
      </c>
      <c r="Z166" s="232">
        <f t="shared" si="22"/>
        <v>106785.58000000002</v>
      </c>
      <c r="AA166" s="22">
        <f t="shared" si="19"/>
        <v>0</v>
      </c>
      <c r="AB166" s="424">
        <f t="shared" si="23"/>
        <v>5.2438053899095394E-12</v>
      </c>
      <c r="AC166" s="424">
        <f t="shared" si="24"/>
        <v>0</v>
      </c>
    </row>
    <row r="167" spans="1:29" s="269" customFormat="1" ht="14.25" customHeight="1" x14ac:dyDescent="0.25">
      <c r="A167" s="272"/>
      <c r="B167" s="276"/>
      <c r="C167" s="266"/>
      <c r="D167" s="353" t="s">
        <v>518</v>
      </c>
      <c r="E167" s="457"/>
      <c r="F167" s="268"/>
      <c r="G167" s="278"/>
      <c r="H167" s="151"/>
      <c r="I167" s="151"/>
      <c r="J167" s="151"/>
      <c r="N167" s="268"/>
      <c r="O167" s="315"/>
      <c r="P167" s="315"/>
      <c r="R167" s="274"/>
      <c r="S167" s="274"/>
      <c r="T167" s="443"/>
      <c r="U167" s="445"/>
      <c r="V167" s="443"/>
      <c r="W167" s="295"/>
      <c r="X167" s="231">
        <f t="shared" si="20"/>
        <v>0</v>
      </c>
      <c r="Y167" s="231">
        <f t="shared" si="21"/>
        <v>0</v>
      </c>
      <c r="Z167" s="232">
        <f t="shared" si="22"/>
        <v>0</v>
      </c>
      <c r="AA167" s="22">
        <f t="shared" si="19"/>
        <v>0</v>
      </c>
      <c r="AB167" s="424">
        <f t="shared" si="23"/>
        <v>0</v>
      </c>
      <c r="AC167" s="424">
        <f t="shared" si="24"/>
        <v>0</v>
      </c>
    </row>
    <row r="168" spans="1:29" s="269" customFormat="1" ht="14.25" customHeight="1" x14ac:dyDescent="0.25">
      <c r="A168" s="272"/>
      <c r="B168" s="276"/>
      <c r="C168" s="266"/>
      <c r="D168" s="354" t="s">
        <v>519</v>
      </c>
      <c r="E168" s="457"/>
      <c r="F168" s="268">
        <v>48.4</v>
      </c>
      <c r="G168" s="278"/>
      <c r="H168" s="151"/>
      <c r="I168" s="151"/>
      <c r="J168" s="151"/>
      <c r="N168" s="268"/>
      <c r="O168" s="315"/>
      <c r="P168" s="315"/>
      <c r="R168" s="274">
        <f>R166/F166*F168</f>
        <v>77812.525179987249</v>
      </c>
      <c r="S168" s="274">
        <f>S166/F166*F168</f>
        <v>30752.935678483551</v>
      </c>
      <c r="T168" s="443">
        <f>$T$166/$F$166*F168</f>
        <v>30627.901977581339</v>
      </c>
      <c r="U168" s="445">
        <f t="shared" si="26"/>
        <v>0</v>
      </c>
      <c r="V168" s="443">
        <f t="shared" si="25"/>
        <v>47184.623202405914</v>
      </c>
      <c r="W168" s="295">
        <f>W166/F166*F168</f>
        <v>47059.589501503695</v>
      </c>
      <c r="X168" s="231">
        <f t="shared" si="20"/>
        <v>30752.935678483551</v>
      </c>
      <c r="Y168" s="231">
        <f t="shared" si="21"/>
        <v>0</v>
      </c>
      <c r="Z168" s="232">
        <f t="shared" si="22"/>
        <v>47059.589501503695</v>
      </c>
      <c r="AA168" s="22">
        <f t="shared" si="19"/>
        <v>0</v>
      </c>
      <c r="AB168" s="424">
        <f t="shared" si="23"/>
        <v>0</v>
      </c>
      <c r="AC168" s="424">
        <f t="shared" si="24"/>
        <v>0</v>
      </c>
    </row>
    <row r="169" spans="1:29" s="149" customFormat="1" ht="14.25" customHeight="1" x14ac:dyDescent="0.25">
      <c r="A169" s="152"/>
      <c r="B169" s="143"/>
      <c r="C169" s="154"/>
      <c r="D169" s="477" t="s">
        <v>520</v>
      </c>
      <c r="E169" s="170"/>
      <c r="F169" s="158">
        <v>61.33</v>
      </c>
      <c r="G169" s="142"/>
      <c r="H169" s="157"/>
      <c r="I169" s="157"/>
      <c r="J169" s="157"/>
      <c r="K169" s="171"/>
      <c r="L169" s="171"/>
      <c r="M169" s="171"/>
      <c r="N169" s="158"/>
      <c r="O169" s="159"/>
      <c r="P169" s="159"/>
      <c r="Q169" s="171"/>
      <c r="R169" s="213">
        <f>R166/F166*F169</f>
        <v>98600.044820012772</v>
      </c>
      <c r="S169" s="213">
        <f>S166/F166*F169</f>
        <v>38968.544321516449</v>
      </c>
      <c r="T169" s="443">
        <f>$T$166/$F$166*F169</f>
        <v>38810.108022418666</v>
      </c>
      <c r="U169" s="445">
        <f t="shared" si="26"/>
        <v>0</v>
      </c>
      <c r="V169" s="443">
        <f t="shared" si="25"/>
        <v>59789.936797594106</v>
      </c>
      <c r="W169" s="214">
        <f>W166/F166*F169</f>
        <v>59631.500498496316</v>
      </c>
      <c r="X169" s="231">
        <f t="shared" si="20"/>
        <v>38968.544321516449</v>
      </c>
      <c r="Y169" s="231">
        <f t="shared" si="21"/>
        <v>0</v>
      </c>
      <c r="Z169" s="232">
        <f t="shared" si="22"/>
        <v>59631.500498496316</v>
      </c>
      <c r="AA169" s="22">
        <f t="shared" si="19"/>
        <v>0</v>
      </c>
      <c r="AB169" s="424">
        <f t="shared" si="23"/>
        <v>0</v>
      </c>
      <c r="AC169" s="424">
        <f t="shared" si="24"/>
        <v>7.2759576141834259E-12</v>
      </c>
    </row>
    <row r="170" spans="1:29" s="257" customFormat="1" ht="14.25" customHeight="1" x14ac:dyDescent="0.25">
      <c r="A170" s="224">
        <f>SUM(A166+1)</f>
        <v>49</v>
      </c>
      <c r="B170" s="225" t="s">
        <v>106</v>
      </c>
      <c r="C170" s="226">
        <v>255</v>
      </c>
      <c r="D170" s="225" t="s">
        <v>107</v>
      </c>
      <c r="E170" s="260" t="s">
        <v>108</v>
      </c>
      <c r="F170" s="245">
        <f>SUM(F171:F172)</f>
        <v>1054.6599999999999</v>
      </c>
      <c r="G170" s="248">
        <v>1975</v>
      </c>
      <c r="H170" s="237">
        <f>SUM(Лист1!G58)</f>
        <v>1794671.82</v>
      </c>
      <c r="I170" s="237">
        <f>SUM(Лист1!H58)</f>
        <v>698233.29</v>
      </c>
      <c r="J170" s="237">
        <f>SUM(Лист1!I58)</f>
        <v>1030.77</v>
      </c>
      <c r="K170" s="261"/>
      <c r="L170" s="261"/>
      <c r="M170" s="261"/>
      <c r="N170" s="259">
        <v>154.03</v>
      </c>
      <c r="O170" s="259">
        <v>138.81</v>
      </c>
      <c r="P170" s="259">
        <v>0.2</v>
      </c>
      <c r="Q170" s="261"/>
      <c r="R170" s="231">
        <f t="shared" si="10"/>
        <v>1794825.85</v>
      </c>
      <c r="S170" s="231">
        <f>SUM(I170+O170-J170)</f>
        <v>697341.33000000007</v>
      </c>
      <c r="T170" s="443">
        <f>S170-3*U170</f>
        <v>694248.42</v>
      </c>
      <c r="U170" s="445">
        <f t="shared" si="26"/>
        <v>1030.97</v>
      </c>
      <c r="V170" s="443">
        <f t="shared" si="25"/>
        <v>1100577.4300000002</v>
      </c>
      <c r="W170" s="238">
        <f t="shared" si="6"/>
        <v>1097484.52</v>
      </c>
      <c r="X170" s="231">
        <f t="shared" si="20"/>
        <v>696310.3600000001</v>
      </c>
      <c r="Y170" s="231">
        <f t="shared" si="21"/>
        <v>1030.97</v>
      </c>
      <c r="Z170" s="232">
        <f t="shared" si="22"/>
        <v>1098515.49</v>
      </c>
      <c r="AA170" s="22">
        <f t="shared" si="19"/>
        <v>0</v>
      </c>
      <c r="AB170" s="424">
        <f t="shared" si="23"/>
        <v>-2.7966962079517543E-11</v>
      </c>
      <c r="AC170" s="424">
        <f t="shared" si="24"/>
        <v>0</v>
      </c>
    </row>
    <row r="171" spans="1:29" s="149" customFormat="1" ht="14.25" customHeight="1" x14ac:dyDescent="0.25">
      <c r="A171" s="163"/>
      <c r="B171" s="167"/>
      <c r="C171" s="146"/>
      <c r="D171" s="161" t="s">
        <v>485</v>
      </c>
      <c r="E171" s="165"/>
      <c r="F171" s="205">
        <v>66.36</v>
      </c>
      <c r="G171" s="249"/>
      <c r="H171" s="148"/>
      <c r="I171" s="148"/>
      <c r="J171" s="148"/>
      <c r="N171" s="140"/>
      <c r="O171" s="140"/>
      <c r="P171" s="140"/>
      <c r="R171" s="211">
        <f>R170/F170*F171</f>
        <v>112931.79167314587</v>
      </c>
      <c r="S171" s="211">
        <f>S170/F170*F171</f>
        <v>43877.240683063748</v>
      </c>
      <c r="T171" s="443">
        <f>$T$170/$F$170*F171</f>
        <v>43682.632460887879</v>
      </c>
      <c r="U171" s="445"/>
      <c r="V171" s="443">
        <f t="shared" si="25"/>
        <v>69249.15921225799</v>
      </c>
      <c r="W171" s="212">
        <f>W170/F170*F171</f>
        <v>69054.55099008212</v>
      </c>
      <c r="X171" s="231">
        <f t="shared" si="20"/>
        <v>43877.240683063748</v>
      </c>
      <c r="Y171" s="231">
        <f t="shared" si="21"/>
        <v>0</v>
      </c>
      <c r="Z171" s="232">
        <f t="shared" si="22"/>
        <v>69054.55099008212</v>
      </c>
      <c r="AA171" s="22">
        <f t="shared" si="19"/>
        <v>0</v>
      </c>
      <c r="AB171" s="424">
        <f t="shared" si="23"/>
        <v>0</v>
      </c>
      <c r="AC171" s="424">
        <f t="shared" si="24"/>
        <v>0</v>
      </c>
    </row>
    <row r="172" spans="1:29" s="149" customFormat="1" ht="14.25" customHeight="1" x14ac:dyDescent="0.25">
      <c r="A172" s="163"/>
      <c r="B172" s="167"/>
      <c r="C172" s="146"/>
      <c r="D172" s="161" t="s">
        <v>470</v>
      </c>
      <c r="E172" s="165"/>
      <c r="F172" s="205">
        <v>988.3</v>
      </c>
      <c r="G172" s="249"/>
      <c r="H172" s="148"/>
      <c r="I172" s="148"/>
      <c r="J172" s="148"/>
      <c r="N172" s="140"/>
      <c r="O172" s="140"/>
      <c r="P172" s="140"/>
      <c r="R172" s="211">
        <f>R170/F170*F172</f>
        <v>1681894.0583268544</v>
      </c>
      <c r="S172" s="211">
        <f>S170/F170*F172</f>
        <v>653464.08931693644</v>
      </c>
      <c r="T172" s="443">
        <f>$T$170/$F$170*F172</f>
        <v>650565.78753911215</v>
      </c>
      <c r="U172" s="445"/>
      <c r="V172" s="443">
        <f t="shared" si="25"/>
        <v>1031328.2707877422</v>
      </c>
      <c r="W172" s="212">
        <f>W170/F170*F172</f>
        <v>1028429.969009918</v>
      </c>
      <c r="X172" s="231">
        <f t="shared" si="20"/>
        <v>653464.08931693644</v>
      </c>
      <c r="Y172" s="231">
        <f t="shared" si="21"/>
        <v>0</v>
      </c>
      <c r="Z172" s="232">
        <f t="shared" si="22"/>
        <v>1028429.969009918</v>
      </c>
      <c r="AA172" s="22">
        <f t="shared" si="19"/>
        <v>0</v>
      </c>
      <c r="AB172" s="424">
        <f t="shared" si="23"/>
        <v>0</v>
      </c>
      <c r="AC172" s="424">
        <f t="shared" si="24"/>
        <v>-1.1641532182693481E-10</v>
      </c>
    </row>
    <row r="173" spans="1:29" s="149" customFormat="1" ht="14.25" customHeight="1" x14ac:dyDescent="0.25">
      <c r="A173" s="152"/>
      <c r="B173" s="143"/>
      <c r="C173" s="154"/>
      <c r="D173" s="162"/>
      <c r="E173" s="166"/>
      <c r="F173" s="206"/>
      <c r="G173" s="142"/>
      <c r="H173" s="157"/>
      <c r="I173" s="157"/>
      <c r="J173" s="157"/>
      <c r="K173" s="171"/>
      <c r="L173" s="171"/>
      <c r="M173" s="171"/>
      <c r="N173" s="159"/>
      <c r="O173" s="159"/>
      <c r="P173" s="159"/>
      <c r="Q173" s="171"/>
      <c r="R173" s="213"/>
      <c r="S173" s="213"/>
      <c r="T173" s="443"/>
      <c r="U173" s="445"/>
      <c r="V173" s="443"/>
      <c r="W173" s="214"/>
      <c r="X173" s="231">
        <f t="shared" si="20"/>
        <v>0</v>
      </c>
      <c r="Y173" s="231">
        <f t="shared" si="21"/>
        <v>0</v>
      </c>
      <c r="Z173" s="232">
        <f t="shared" si="22"/>
        <v>0</v>
      </c>
      <c r="AA173" s="22">
        <f t="shared" si="19"/>
        <v>0</v>
      </c>
      <c r="AB173" s="424">
        <f t="shared" si="23"/>
        <v>0</v>
      </c>
      <c r="AC173" s="424">
        <f t="shared" si="24"/>
        <v>0</v>
      </c>
    </row>
    <row r="174" spans="1:29" s="257" customFormat="1" ht="14.25" customHeight="1" x14ac:dyDescent="0.25">
      <c r="A174" s="224">
        <f>SUM(A170+1)</f>
        <v>50</v>
      </c>
      <c r="B174" s="225" t="s">
        <v>109</v>
      </c>
      <c r="C174" s="226">
        <v>256</v>
      </c>
      <c r="D174" s="225" t="s">
        <v>110</v>
      </c>
      <c r="E174" s="251">
        <v>26</v>
      </c>
      <c r="F174" s="245">
        <v>1052.1199999999999</v>
      </c>
      <c r="G174" s="248">
        <v>1977</v>
      </c>
      <c r="H174" s="237">
        <f>SUM(Лист1!G59)</f>
        <v>1619796.94</v>
      </c>
      <c r="I174" s="237">
        <f>SUM(Лист1!H59)</f>
        <v>639517.31000000006</v>
      </c>
      <c r="J174" s="237">
        <f>SUM(Лист1!I59)</f>
        <v>911.6</v>
      </c>
      <c r="K174" s="261"/>
      <c r="L174" s="261"/>
      <c r="M174" s="261"/>
      <c r="N174" s="252">
        <v>1163</v>
      </c>
      <c r="O174" s="252">
        <v>1119.01</v>
      </c>
      <c r="P174" s="259">
        <v>1.47</v>
      </c>
      <c r="Q174" s="261"/>
      <c r="R174" s="231">
        <f t="shared" si="10"/>
        <v>1620959.94</v>
      </c>
      <c r="S174" s="231">
        <f>SUM(I174+O174-J174)</f>
        <v>639724.72000000009</v>
      </c>
      <c r="T174" s="443">
        <f>S174-3*U174</f>
        <v>636985.51000000013</v>
      </c>
      <c r="U174" s="445">
        <f t="shared" si="26"/>
        <v>913.07</v>
      </c>
      <c r="V174" s="443">
        <f t="shared" si="25"/>
        <v>983974.42999999982</v>
      </c>
      <c r="W174" s="238">
        <f t="shared" si="6"/>
        <v>981235.21999999986</v>
      </c>
      <c r="X174" s="231">
        <f t="shared" si="20"/>
        <v>638811.65000000014</v>
      </c>
      <c r="Y174" s="231">
        <f t="shared" si="21"/>
        <v>913.07</v>
      </c>
      <c r="Z174" s="232">
        <f t="shared" si="22"/>
        <v>982148.2899999998</v>
      </c>
      <c r="AA174" s="22">
        <f t="shared" si="19"/>
        <v>0</v>
      </c>
      <c r="AB174" s="424">
        <f t="shared" si="23"/>
        <v>-5.1272763812448829E-11</v>
      </c>
      <c r="AC174" s="424">
        <f t="shared" si="24"/>
        <v>0</v>
      </c>
    </row>
    <row r="175" spans="1:29" s="149" customFormat="1" ht="14.25" customHeight="1" x14ac:dyDescent="0.25">
      <c r="A175" s="163"/>
      <c r="B175" s="167"/>
      <c r="C175" s="146"/>
      <c r="D175" s="161" t="s">
        <v>518</v>
      </c>
      <c r="E175" s="147"/>
      <c r="F175" s="205"/>
      <c r="G175" s="249"/>
      <c r="H175" s="148"/>
      <c r="I175" s="148"/>
      <c r="J175" s="148"/>
      <c r="N175" s="139"/>
      <c r="O175" s="139"/>
      <c r="P175" s="140"/>
      <c r="R175" s="211"/>
      <c r="S175" s="211"/>
      <c r="T175" s="443"/>
      <c r="U175" s="445"/>
      <c r="V175" s="443"/>
      <c r="W175" s="212"/>
      <c r="X175" s="231">
        <f t="shared" si="20"/>
        <v>0</v>
      </c>
      <c r="Y175" s="231">
        <f t="shared" si="21"/>
        <v>0</v>
      </c>
      <c r="Z175" s="232">
        <f t="shared" si="22"/>
        <v>0</v>
      </c>
      <c r="AA175" s="22">
        <f t="shared" si="19"/>
        <v>0</v>
      </c>
      <c r="AB175" s="424">
        <f t="shared" si="23"/>
        <v>0</v>
      </c>
      <c r="AC175" s="424">
        <f t="shared" si="24"/>
        <v>0</v>
      </c>
    </row>
    <row r="176" spans="1:29" s="149" customFormat="1" ht="14.25" customHeight="1" x14ac:dyDescent="0.25">
      <c r="A176" s="163"/>
      <c r="B176" s="167"/>
      <c r="C176" s="146"/>
      <c r="D176" s="250" t="s">
        <v>521</v>
      </c>
      <c r="E176" s="147"/>
      <c r="F176" s="205">
        <v>60.71</v>
      </c>
      <c r="G176" s="249"/>
      <c r="H176" s="148"/>
      <c r="I176" s="148"/>
      <c r="J176" s="148"/>
      <c r="N176" s="139"/>
      <c r="O176" s="139"/>
      <c r="P176" s="140"/>
      <c r="R176" s="211">
        <f>$R$174/$F$174*F176</f>
        <v>93533.511346044179</v>
      </c>
      <c r="S176" s="211">
        <f>639724.72/1052.12*F176</f>
        <v>36913.743442953273</v>
      </c>
      <c r="T176" s="443">
        <f>$T$174/$F$174*F176</f>
        <v>36755.684058947663</v>
      </c>
      <c r="U176" s="445"/>
      <c r="V176" s="443">
        <f t="shared" si="25"/>
        <v>56777.827287096516</v>
      </c>
      <c r="W176" s="212">
        <f>SUM(R176-S176)</f>
        <v>56619.767903090906</v>
      </c>
      <c r="X176" s="231">
        <f t="shared" si="20"/>
        <v>36913.743442953273</v>
      </c>
      <c r="Y176" s="231">
        <f t="shared" si="21"/>
        <v>0</v>
      </c>
      <c r="Z176" s="232">
        <f t="shared" si="22"/>
        <v>56619.767903090906</v>
      </c>
      <c r="AA176" s="22">
        <f t="shared" si="19"/>
        <v>0</v>
      </c>
      <c r="AB176" s="424">
        <f t="shared" si="23"/>
        <v>0</v>
      </c>
      <c r="AC176" s="424">
        <f t="shared" si="24"/>
        <v>0</v>
      </c>
    </row>
    <row r="177" spans="1:29" s="149" customFormat="1" ht="14.25" customHeight="1" x14ac:dyDescent="0.25">
      <c r="A177" s="163"/>
      <c r="B177" s="167"/>
      <c r="C177" s="146"/>
      <c r="D177" s="250" t="s">
        <v>522</v>
      </c>
      <c r="E177" s="147"/>
      <c r="F177" s="205">
        <v>59.81</v>
      </c>
      <c r="G177" s="249"/>
      <c r="H177" s="148"/>
      <c r="I177" s="148"/>
      <c r="J177" s="148"/>
      <c r="N177" s="139"/>
      <c r="O177" s="139"/>
      <c r="P177" s="140"/>
      <c r="R177" s="211">
        <f t="shared" ref="R177:R178" si="32">$R$174/$F$174*F177</f>
        <v>92146.916712352206</v>
      </c>
      <c r="S177" s="211">
        <f t="shared" ref="S177:S178" si="33">639724.72/1052.12*F177</f>
        <v>36366.512853286702</v>
      </c>
      <c r="T177" s="443">
        <f t="shared" ref="T177:T178" si="34">$T$174/$F$174*F177</f>
        <v>36210.796632608464</v>
      </c>
      <c r="U177" s="445"/>
      <c r="V177" s="443">
        <f t="shared" si="25"/>
        <v>55936.120079743741</v>
      </c>
      <c r="W177" s="212">
        <f t="shared" ref="W177:W178" si="35">SUM(R177-S177)</f>
        <v>55780.403859065504</v>
      </c>
      <c r="X177" s="231">
        <f t="shared" si="20"/>
        <v>36366.512853286702</v>
      </c>
      <c r="Y177" s="231">
        <f t="shared" si="21"/>
        <v>0</v>
      </c>
      <c r="Z177" s="232">
        <f t="shared" si="22"/>
        <v>55780.403859065504</v>
      </c>
      <c r="AA177" s="22">
        <f t="shared" si="19"/>
        <v>0</v>
      </c>
      <c r="AB177" s="424">
        <f t="shared" si="23"/>
        <v>0</v>
      </c>
      <c r="AC177" s="424">
        <f t="shared" si="24"/>
        <v>0</v>
      </c>
    </row>
    <row r="178" spans="1:29" s="149" customFormat="1" ht="14.25" customHeight="1" x14ac:dyDescent="0.25">
      <c r="A178" s="163"/>
      <c r="B178" s="167"/>
      <c r="C178" s="146"/>
      <c r="D178" s="161" t="s">
        <v>470</v>
      </c>
      <c r="E178" s="147"/>
      <c r="F178" s="205">
        <v>931.6</v>
      </c>
      <c r="G178" s="249"/>
      <c r="H178" s="148"/>
      <c r="I178" s="148"/>
      <c r="J178" s="148"/>
      <c r="N178" s="139"/>
      <c r="O178" s="139"/>
      <c r="P178" s="140"/>
      <c r="R178" s="211">
        <f t="shared" si="32"/>
        <v>1435279.5119416036</v>
      </c>
      <c r="S178" s="211">
        <f t="shared" si="33"/>
        <v>566444.46370376006</v>
      </c>
      <c r="T178" s="443">
        <f t="shared" si="34"/>
        <v>564019.02930844412</v>
      </c>
      <c r="U178" s="445"/>
      <c r="V178" s="443">
        <f t="shared" si="25"/>
        <v>871260.4826331595</v>
      </c>
      <c r="W178" s="212">
        <f t="shared" si="35"/>
        <v>868835.04823784356</v>
      </c>
      <c r="X178" s="231">
        <f t="shared" si="20"/>
        <v>566444.46370376006</v>
      </c>
      <c r="Y178" s="231">
        <f t="shared" si="21"/>
        <v>0</v>
      </c>
      <c r="Z178" s="232">
        <f t="shared" si="22"/>
        <v>868835.04823784356</v>
      </c>
      <c r="AA178" s="22">
        <f t="shared" si="19"/>
        <v>0</v>
      </c>
      <c r="AB178" s="424">
        <f t="shared" si="23"/>
        <v>0</v>
      </c>
      <c r="AC178" s="424">
        <f t="shared" si="24"/>
        <v>0</v>
      </c>
    </row>
    <row r="179" spans="1:29" s="149" customFormat="1" ht="14.25" customHeight="1" x14ac:dyDescent="0.25">
      <c r="A179" s="152"/>
      <c r="B179" s="143"/>
      <c r="C179" s="154"/>
      <c r="D179" s="162"/>
      <c r="E179" s="155"/>
      <c r="F179" s="206"/>
      <c r="G179" s="142"/>
      <c r="H179" s="157"/>
      <c r="I179" s="157"/>
      <c r="J179" s="157"/>
      <c r="K179" s="171"/>
      <c r="L179" s="171"/>
      <c r="M179" s="171"/>
      <c r="N179" s="158"/>
      <c r="O179" s="158"/>
      <c r="P179" s="159"/>
      <c r="Q179" s="171"/>
      <c r="R179" s="213"/>
      <c r="S179" s="213"/>
      <c r="T179" s="443"/>
      <c r="U179" s="445"/>
      <c r="V179" s="443"/>
      <c r="W179" s="213"/>
      <c r="X179" s="231">
        <f t="shared" si="20"/>
        <v>0</v>
      </c>
      <c r="Y179" s="231">
        <f t="shared" si="21"/>
        <v>0</v>
      </c>
      <c r="Z179" s="232">
        <f t="shared" si="22"/>
        <v>0</v>
      </c>
      <c r="AA179" s="22">
        <f t="shared" si="19"/>
        <v>0</v>
      </c>
      <c r="AB179" s="424">
        <f t="shared" si="23"/>
        <v>0</v>
      </c>
      <c r="AC179" s="424">
        <f t="shared" si="24"/>
        <v>0</v>
      </c>
    </row>
    <row r="180" spans="1:29" s="257" customFormat="1" ht="14.25" customHeight="1" x14ac:dyDescent="0.25">
      <c r="A180" s="224">
        <f>SUM(A174+1)</f>
        <v>51</v>
      </c>
      <c r="B180" s="225" t="s">
        <v>111</v>
      </c>
      <c r="C180" s="226">
        <v>257</v>
      </c>
      <c r="D180" s="225" t="s">
        <v>110</v>
      </c>
      <c r="E180" s="454">
        <v>30</v>
      </c>
      <c r="F180" s="252">
        <v>508</v>
      </c>
      <c r="G180" s="248">
        <v>1977</v>
      </c>
      <c r="H180" s="237">
        <f>SUM(Лист1!G60)</f>
        <v>859138.53</v>
      </c>
      <c r="I180" s="237">
        <f>SUM(Лист1!H60)</f>
        <v>336596.02</v>
      </c>
      <c r="J180" s="237">
        <f>SUM(Лист1!I60)</f>
        <v>481.89</v>
      </c>
      <c r="K180" s="261"/>
      <c r="L180" s="261"/>
      <c r="M180" s="261"/>
      <c r="N180" s="252">
        <v>2953.35</v>
      </c>
      <c r="O180" s="252">
        <v>2724.26</v>
      </c>
      <c r="P180" s="259">
        <v>3.73</v>
      </c>
      <c r="Q180" s="261"/>
      <c r="R180" s="231">
        <f t="shared" si="10"/>
        <v>862091.88</v>
      </c>
      <c r="S180" s="231">
        <f>SUM(I180+O180-J180)</f>
        <v>338838.39</v>
      </c>
      <c r="T180" s="443">
        <f>S180-3*U180</f>
        <v>337381.53</v>
      </c>
      <c r="U180" s="445">
        <f t="shared" si="26"/>
        <v>485.62</v>
      </c>
      <c r="V180" s="443">
        <f t="shared" si="25"/>
        <v>524710.35</v>
      </c>
      <c r="W180" s="238">
        <f t="shared" si="6"/>
        <v>523253.49</v>
      </c>
      <c r="X180" s="231">
        <f t="shared" si="20"/>
        <v>338352.77</v>
      </c>
      <c r="Y180" s="231">
        <f t="shared" si="21"/>
        <v>485.62</v>
      </c>
      <c r="Z180" s="232">
        <f t="shared" si="22"/>
        <v>523739.11</v>
      </c>
      <c r="AA180" s="22">
        <f t="shared" si="19"/>
        <v>0</v>
      </c>
      <c r="AB180" s="424">
        <f t="shared" si="23"/>
        <v>-4.6611603465862572E-12</v>
      </c>
      <c r="AC180" s="424">
        <f t="shared" si="24"/>
        <v>0</v>
      </c>
    </row>
    <row r="181" spans="1:29" s="149" customFormat="1" ht="14.25" customHeight="1" x14ac:dyDescent="0.25">
      <c r="A181" s="163"/>
      <c r="B181" s="167"/>
      <c r="C181" s="146"/>
      <c r="D181" s="161" t="s">
        <v>470</v>
      </c>
      <c r="E181" s="169"/>
      <c r="F181" s="139">
        <v>508.2</v>
      </c>
      <c r="G181" s="249"/>
      <c r="H181" s="148"/>
      <c r="I181" s="148"/>
      <c r="J181" s="148"/>
      <c r="N181" s="139"/>
      <c r="O181" s="139"/>
      <c r="P181" s="140"/>
      <c r="R181" s="211"/>
      <c r="S181" s="211"/>
      <c r="T181" s="443"/>
      <c r="U181" s="445"/>
      <c r="V181" s="443"/>
      <c r="W181" s="212"/>
      <c r="X181" s="231">
        <f t="shared" si="20"/>
        <v>0</v>
      </c>
      <c r="Y181" s="231">
        <f t="shared" si="21"/>
        <v>0</v>
      </c>
      <c r="Z181" s="232">
        <f t="shared" si="22"/>
        <v>0</v>
      </c>
      <c r="AA181" s="22">
        <f t="shared" si="19"/>
        <v>0</v>
      </c>
      <c r="AB181" s="424">
        <f t="shared" si="23"/>
        <v>0</v>
      </c>
      <c r="AC181" s="424">
        <f t="shared" si="24"/>
        <v>0</v>
      </c>
    </row>
    <row r="182" spans="1:29" s="149" customFormat="1" ht="14.25" customHeight="1" x14ac:dyDescent="0.25">
      <c r="A182" s="152"/>
      <c r="B182" s="143"/>
      <c r="C182" s="154"/>
      <c r="D182" s="143"/>
      <c r="E182" s="170"/>
      <c r="F182" s="158"/>
      <c r="G182" s="142"/>
      <c r="H182" s="157"/>
      <c r="I182" s="157"/>
      <c r="J182" s="157"/>
      <c r="K182" s="171"/>
      <c r="L182" s="171"/>
      <c r="M182" s="171"/>
      <c r="N182" s="158"/>
      <c r="O182" s="158"/>
      <c r="P182" s="159"/>
      <c r="Q182" s="171"/>
      <c r="R182" s="213"/>
      <c r="S182" s="213"/>
      <c r="T182" s="443"/>
      <c r="U182" s="445"/>
      <c r="V182" s="443"/>
      <c r="W182" s="214"/>
      <c r="X182" s="231">
        <f t="shared" si="20"/>
        <v>0</v>
      </c>
      <c r="Y182" s="231">
        <f t="shared" si="21"/>
        <v>0</v>
      </c>
      <c r="Z182" s="232">
        <f t="shared" si="22"/>
        <v>0</v>
      </c>
      <c r="AA182" s="22">
        <f t="shared" si="19"/>
        <v>0</v>
      </c>
      <c r="AB182" s="424">
        <f t="shared" si="23"/>
        <v>0</v>
      </c>
      <c r="AC182" s="424">
        <f t="shared" si="24"/>
        <v>0</v>
      </c>
    </row>
    <row r="183" spans="1:29" s="257" customFormat="1" ht="14.25" customHeight="1" x14ac:dyDescent="0.25">
      <c r="A183" s="224">
        <f>SUM(A180+1)</f>
        <v>52</v>
      </c>
      <c r="B183" s="225" t="s">
        <v>112</v>
      </c>
      <c r="C183" s="226">
        <v>258</v>
      </c>
      <c r="D183" s="225" t="s">
        <v>110</v>
      </c>
      <c r="E183" s="454">
        <v>32</v>
      </c>
      <c r="F183" s="252">
        <v>607.70000000000005</v>
      </c>
      <c r="G183" s="248">
        <v>1977</v>
      </c>
      <c r="H183" s="237">
        <f>SUM(Лист1!G61)</f>
        <v>993252.95</v>
      </c>
      <c r="I183" s="237">
        <f>SUM(Лист1!H61)</f>
        <v>390939.35</v>
      </c>
      <c r="J183" s="237">
        <f>SUM(Лист1!I61)</f>
        <v>557.55999999999995</v>
      </c>
      <c r="K183" s="261"/>
      <c r="L183" s="261"/>
      <c r="M183" s="261"/>
      <c r="N183" s="252">
        <v>3313.31</v>
      </c>
      <c r="O183" s="252">
        <v>3113.11</v>
      </c>
      <c r="P183" s="259">
        <v>4.18</v>
      </c>
      <c r="Q183" s="261"/>
      <c r="R183" s="231">
        <f t="shared" si="10"/>
        <v>996566.26</v>
      </c>
      <c r="S183" s="231">
        <f>SUM(I183+O183-J183)</f>
        <v>393494.89999999997</v>
      </c>
      <c r="T183" s="443">
        <f>S183-3*U183</f>
        <v>391809.68</v>
      </c>
      <c r="U183" s="445">
        <f t="shared" si="26"/>
        <v>561.7399999999999</v>
      </c>
      <c r="V183" s="443">
        <f t="shared" si="25"/>
        <v>604756.58000000007</v>
      </c>
      <c r="W183" s="238">
        <f t="shared" si="6"/>
        <v>603071.3600000001</v>
      </c>
      <c r="X183" s="231">
        <f t="shared" si="20"/>
        <v>392933.16</v>
      </c>
      <c r="Y183" s="231">
        <f t="shared" si="21"/>
        <v>561.7399999999999</v>
      </c>
      <c r="Z183" s="232">
        <f t="shared" si="22"/>
        <v>603633.10000000009</v>
      </c>
      <c r="AA183" s="22">
        <f t="shared" si="19"/>
        <v>0</v>
      </c>
      <c r="AB183" s="424">
        <f t="shared" si="23"/>
        <v>-9.2086338554508984E-12</v>
      </c>
      <c r="AC183" s="424">
        <f t="shared" si="24"/>
        <v>0</v>
      </c>
    </row>
    <row r="184" spans="1:29" s="149" customFormat="1" ht="14.25" customHeight="1" x14ac:dyDescent="0.25">
      <c r="A184" s="163"/>
      <c r="B184" s="167"/>
      <c r="C184" s="146"/>
      <c r="D184" s="161" t="s">
        <v>470</v>
      </c>
      <c r="E184" s="169"/>
      <c r="F184" s="139">
        <v>607.70000000000005</v>
      </c>
      <c r="G184" s="249"/>
      <c r="H184" s="148"/>
      <c r="I184" s="148"/>
      <c r="J184" s="148"/>
      <c r="N184" s="139"/>
      <c r="O184" s="139"/>
      <c r="P184" s="140"/>
      <c r="R184" s="211"/>
      <c r="S184" s="211"/>
      <c r="T184" s="443"/>
      <c r="U184" s="445"/>
      <c r="V184" s="443"/>
      <c r="W184" s="212"/>
      <c r="X184" s="231">
        <f t="shared" si="20"/>
        <v>0</v>
      </c>
      <c r="Y184" s="231">
        <f t="shared" si="21"/>
        <v>0</v>
      </c>
      <c r="Z184" s="232">
        <f t="shared" si="22"/>
        <v>0</v>
      </c>
      <c r="AA184" s="22">
        <f t="shared" si="19"/>
        <v>0</v>
      </c>
      <c r="AB184" s="424">
        <f t="shared" si="23"/>
        <v>0</v>
      </c>
      <c r="AC184" s="424">
        <f t="shared" si="24"/>
        <v>0</v>
      </c>
    </row>
    <row r="185" spans="1:29" s="149" customFormat="1" ht="14.25" customHeight="1" x14ac:dyDescent="0.25">
      <c r="A185" s="152"/>
      <c r="B185" s="143"/>
      <c r="C185" s="154"/>
      <c r="D185" s="143"/>
      <c r="E185" s="170"/>
      <c r="F185" s="158"/>
      <c r="G185" s="142"/>
      <c r="H185" s="157"/>
      <c r="I185" s="157"/>
      <c r="J185" s="157"/>
      <c r="K185" s="171"/>
      <c r="L185" s="171"/>
      <c r="M185" s="171"/>
      <c r="N185" s="158"/>
      <c r="O185" s="158"/>
      <c r="P185" s="159"/>
      <c r="Q185" s="171"/>
      <c r="R185" s="213"/>
      <c r="S185" s="213"/>
      <c r="T185" s="443"/>
      <c r="U185" s="445"/>
      <c r="V185" s="443"/>
      <c r="W185" s="214"/>
      <c r="X185" s="231">
        <f t="shared" si="20"/>
        <v>0</v>
      </c>
      <c r="Y185" s="231">
        <f t="shared" si="21"/>
        <v>0</v>
      </c>
      <c r="Z185" s="232">
        <f t="shared" si="22"/>
        <v>0</v>
      </c>
      <c r="AA185" s="22">
        <f t="shared" si="19"/>
        <v>0</v>
      </c>
      <c r="AB185" s="424">
        <f t="shared" si="23"/>
        <v>0</v>
      </c>
      <c r="AC185" s="424">
        <f t="shared" si="24"/>
        <v>0</v>
      </c>
    </row>
    <row r="186" spans="1:29" s="257" customFormat="1" ht="14.25" customHeight="1" x14ac:dyDescent="0.25">
      <c r="A186" s="224">
        <f>SUM(A183+1)</f>
        <v>53</v>
      </c>
      <c r="B186" s="225" t="s">
        <v>113</v>
      </c>
      <c r="C186" s="226">
        <v>259</v>
      </c>
      <c r="D186" s="225" t="s">
        <v>110</v>
      </c>
      <c r="E186" s="454">
        <v>10</v>
      </c>
      <c r="F186" s="252">
        <f>F188+F189+F190</f>
        <v>177.47</v>
      </c>
      <c r="G186" s="248">
        <v>1982</v>
      </c>
      <c r="H186" s="237">
        <f>SUM(Лист1!G62)</f>
        <v>392451.15</v>
      </c>
      <c r="I186" s="237">
        <f>SUM(Лист1!H62)</f>
        <v>157195.4</v>
      </c>
      <c r="J186" s="237">
        <f>SUM(Лист1!I62)</f>
        <v>211.37</v>
      </c>
      <c r="K186" s="261"/>
      <c r="L186" s="261"/>
      <c r="M186" s="261"/>
      <c r="N186" s="252">
        <v>4074.95</v>
      </c>
      <c r="O186" s="252">
        <v>3590.97</v>
      </c>
      <c r="P186" s="259">
        <v>4.7300000000000004</v>
      </c>
      <c r="Q186" s="261"/>
      <c r="R186" s="231">
        <f t="shared" si="10"/>
        <v>396526.10000000003</v>
      </c>
      <c r="S186" s="231">
        <f>SUM(I186+O186-J186)</f>
        <v>160575</v>
      </c>
      <c r="T186" s="443">
        <f>S186-3*U186</f>
        <v>159926.70000000001</v>
      </c>
      <c r="U186" s="445">
        <f t="shared" si="26"/>
        <v>216.1</v>
      </c>
      <c r="V186" s="443">
        <f t="shared" si="25"/>
        <v>236599.40000000002</v>
      </c>
      <c r="W186" s="238">
        <f t="shared" si="6"/>
        <v>235951.10000000003</v>
      </c>
      <c r="X186" s="231">
        <f t="shared" si="20"/>
        <v>160358.9</v>
      </c>
      <c r="Y186" s="231">
        <f t="shared" si="21"/>
        <v>216.1</v>
      </c>
      <c r="Z186" s="232">
        <f t="shared" si="22"/>
        <v>236167.20000000004</v>
      </c>
      <c r="AA186" s="22">
        <f t="shared" si="19"/>
        <v>0</v>
      </c>
      <c r="AB186" s="424">
        <f t="shared" si="23"/>
        <v>5.8264504332328215E-12</v>
      </c>
      <c r="AC186" s="424">
        <f t="shared" si="24"/>
        <v>0</v>
      </c>
    </row>
    <row r="187" spans="1:29" s="269" customFormat="1" ht="14.25" customHeight="1" x14ac:dyDescent="0.25">
      <c r="A187" s="272"/>
      <c r="B187" s="276"/>
      <c r="C187" s="266"/>
      <c r="D187" s="296" t="s">
        <v>518</v>
      </c>
      <c r="E187" s="457"/>
      <c r="F187" s="268"/>
      <c r="G187" s="278"/>
      <c r="H187" s="151"/>
      <c r="I187" s="151"/>
      <c r="J187" s="151"/>
      <c r="N187" s="268"/>
      <c r="O187" s="268"/>
      <c r="P187" s="315"/>
      <c r="R187" s="274"/>
      <c r="S187" s="274"/>
      <c r="T187" s="443"/>
      <c r="U187" s="445"/>
      <c r="V187" s="443"/>
      <c r="W187" s="295"/>
      <c r="X187" s="231">
        <f t="shared" si="20"/>
        <v>0</v>
      </c>
      <c r="Y187" s="231">
        <f t="shared" si="21"/>
        <v>0</v>
      </c>
      <c r="Z187" s="232">
        <f t="shared" si="22"/>
        <v>0</v>
      </c>
      <c r="AA187" s="22">
        <f t="shared" si="19"/>
        <v>0</v>
      </c>
      <c r="AB187" s="424">
        <f t="shared" si="23"/>
        <v>0</v>
      </c>
      <c r="AC187" s="424">
        <f t="shared" si="24"/>
        <v>0</v>
      </c>
    </row>
    <row r="188" spans="1:29" s="269" customFormat="1" ht="14.25" customHeight="1" x14ac:dyDescent="0.25">
      <c r="A188" s="272"/>
      <c r="B188" s="276"/>
      <c r="C188" s="266"/>
      <c r="D188" s="478" t="s">
        <v>523</v>
      </c>
      <c r="E188" s="462"/>
      <c r="F188" s="268">
        <v>97.26</v>
      </c>
      <c r="G188" s="278"/>
      <c r="H188" s="151"/>
      <c r="I188" s="151"/>
      <c r="J188" s="151"/>
      <c r="N188" s="268"/>
      <c r="O188" s="268"/>
      <c r="P188" s="315"/>
      <c r="R188" s="274">
        <f>$R$186/$F$186*F188</f>
        <v>217310.69186904831</v>
      </c>
      <c r="S188" s="274">
        <f>160575/177.47*F188</f>
        <v>88000.926917225443</v>
      </c>
      <c r="T188" s="443">
        <f>$T$186/$F$186*F188</f>
        <v>87645.634991829618</v>
      </c>
      <c r="U188" s="445"/>
      <c r="V188" s="443">
        <f t="shared" si="25"/>
        <v>129665.0568772187</v>
      </c>
      <c r="W188" s="295">
        <f>SUM(R188-S188)</f>
        <v>129309.76495182287</v>
      </c>
      <c r="X188" s="231">
        <f t="shared" si="20"/>
        <v>88000.926917225443</v>
      </c>
      <c r="Y188" s="231">
        <f t="shared" si="21"/>
        <v>0</v>
      </c>
      <c r="Z188" s="232">
        <f t="shared" si="22"/>
        <v>129309.76495182287</v>
      </c>
      <c r="AA188" s="22">
        <f t="shared" si="19"/>
        <v>0</v>
      </c>
      <c r="AB188" s="424">
        <f t="shared" si="23"/>
        <v>0</v>
      </c>
      <c r="AC188" s="424">
        <f t="shared" si="24"/>
        <v>0</v>
      </c>
    </row>
    <row r="189" spans="1:29" s="269" customFormat="1" ht="14.25" customHeight="1" x14ac:dyDescent="0.25">
      <c r="A189" s="272"/>
      <c r="B189" s="276"/>
      <c r="C189" s="266"/>
      <c r="D189" s="478" t="s">
        <v>524</v>
      </c>
      <c r="E189" s="462"/>
      <c r="F189" s="268">
        <v>31.36</v>
      </c>
      <c r="G189" s="278"/>
      <c r="H189" s="151"/>
      <c r="I189" s="151"/>
      <c r="J189" s="151"/>
      <c r="N189" s="268"/>
      <c r="O189" s="268"/>
      <c r="P189" s="315"/>
      <c r="R189" s="274">
        <f t="shared" ref="R189:R190" si="36">$R$186/$F$186*F189</f>
        <v>70068.510148194066</v>
      </c>
      <c r="S189" s="274">
        <f t="shared" ref="S189:S190" si="37">160575/177.47*F189</f>
        <v>28374.553445652786</v>
      </c>
      <c r="T189" s="443">
        <f t="shared" ref="T189:T190" si="38">$T$186/$F$186*F189</f>
        <v>28259.994996337409</v>
      </c>
      <c r="U189" s="445"/>
      <c r="V189" s="443">
        <f t="shared" si="25"/>
        <v>41808.515151856656</v>
      </c>
      <c r="W189" s="295">
        <f t="shared" ref="W189:W190" si="39">SUM(R189-S189)</f>
        <v>41693.956702541283</v>
      </c>
      <c r="X189" s="231">
        <f t="shared" si="20"/>
        <v>28374.553445652786</v>
      </c>
      <c r="Y189" s="231">
        <f t="shared" si="21"/>
        <v>0</v>
      </c>
      <c r="Z189" s="232">
        <f t="shared" si="22"/>
        <v>41693.956702541283</v>
      </c>
      <c r="AA189" s="22">
        <f t="shared" si="19"/>
        <v>0</v>
      </c>
      <c r="AB189" s="424">
        <f t="shared" si="23"/>
        <v>0</v>
      </c>
      <c r="AC189" s="424">
        <f t="shared" si="24"/>
        <v>0</v>
      </c>
    </row>
    <row r="190" spans="1:29" s="269" customFormat="1" ht="14.25" customHeight="1" x14ac:dyDescent="0.25">
      <c r="A190" s="272"/>
      <c r="B190" s="276"/>
      <c r="C190" s="266"/>
      <c r="D190" s="478" t="s">
        <v>525</v>
      </c>
      <c r="E190" s="457"/>
      <c r="F190" s="268">
        <v>48.85</v>
      </c>
      <c r="G190" s="278"/>
      <c r="H190" s="151"/>
      <c r="I190" s="151"/>
      <c r="J190" s="151"/>
      <c r="N190" s="268"/>
      <c r="O190" s="268"/>
      <c r="P190" s="315"/>
      <c r="R190" s="274">
        <f t="shared" si="36"/>
        <v>109146.89798275765</v>
      </c>
      <c r="S190" s="274">
        <f t="shared" si="37"/>
        <v>44199.519637121768</v>
      </c>
      <c r="T190" s="443">
        <f t="shared" si="38"/>
        <v>44021.070011832991</v>
      </c>
      <c r="U190" s="445"/>
      <c r="V190" s="443">
        <f t="shared" si="25"/>
        <v>65125.827970924664</v>
      </c>
      <c r="W190" s="295">
        <f t="shared" si="39"/>
        <v>64947.378345635887</v>
      </c>
      <c r="X190" s="231">
        <f t="shared" si="20"/>
        <v>44199.519637121768</v>
      </c>
      <c r="Y190" s="231">
        <f t="shared" si="21"/>
        <v>0</v>
      </c>
      <c r="Z190" s="232">
        <f t="shared" si="22"/>
        <v>64947.378345635887</v>
      </c>
      <c r="AA190" s="22">
        <f t="shared" si="19"/>
        <v>0</v>
      </c>
      <c r="AB190" s="424">
        <f t="shared" si="23"/>
        <v>0</v>
      </c>
      <c r="AC190" s="424">
        <f t="shared" si="24"/>
        <v>0</v>
      </c>
    </row>
    <row r="191" spans="1:29" s="149" customFormat="1" ht="14.25" customHeight="1" x14ac:dyDescent="0.25">
      <c r="A191" s="152"/>
      <c r="B191" s="143"/>
      <c r="C191" s="154"/>
      <c r="D191" s="143"/>
      <c r="E191" s="170"/>
      <c r="F191" s="158"/>
      <c r="G191" s="142"/>
      <c r="H191" s="157"/>
      <c r="I191" s="157"/>
      <c r="J191" s="157"/>
      <c r="K191" s="171"/>
      <c r="L191" s="171"/>
      <c r="M191" s="171"/>
      <c r="N191" s="158"/>
      <c r="O191" s="158"/>
      <c r="P191" s="159"/>
      <c r="Q191" s="171"/>
      <c r="R191" s="213"/>
      <c r="S191" s="213"/>
      <c r="T191" s="443"/>
      <c r="U191" s="445"/>
      <c r="V191" s="443"/>
      <c r="W191" s="214"/>
      <c r="X191" s="231">
        <f t="shared" si="20"/>
        <v>0</v>
      </c>
      <c r="Y191" s="231">
        <f t="shared" si="21"/>
        <v>0</v>
      </c>
      <c r="Z191" s="232">
        <f t="shared" si="22"/>
        <v>0</v>
      </c>
      <c r="AA191" s="22">
        <f t="shared" si="19"/>
        <v>0</v>
      </c>
      <c r="AB191" s="424">
        <f t="shared" si="23"/>
        <v>0</v>
      </c>
      <c r="AC191" s="424">
        <f t="shared" si="24"/>
        <v>0</v>
      </c>
    </row>
    <row r="192" spans="1:29" s="257" customFormat="1" ht="14.25" customHeight="1" x14ac:dyDescent="0.25">
      <c r="A192" s="224">
        <f>SUM(A186+1)</f>
        <v>54</v>
      </c>
      <c r="B192" s="225" t="s">
        <v>114</v>
      </c>
      <c r="C192" s="226">
        <v>260</v>
      </c>
      <c r="D192" s="225" t="s">
        <v>110</v>
      </c>
      <c r="E192" s="454">
        <v>18</v>
      </c>
      <c r="F192" s="245">
        <f>F194+F195+F196+F197+F198+F199+F200</f>
        <v>301.67</v>
      </c>
      <c r="G192" s="258">
        <v>1978</v>
      </c>
      <c r="H192" s="237">
        <f>SUM(Лист1!G63)</f>
        <v>567005.91</v>
      </c>
      <c r="I192" s="237">
        <f>SUM(Лист1!H63)</f>
        <v>228912.4</v>
      </c>
      <c r="J192" s="237">
        <f>SUM(Лист1!I63)</f>
        <v>325.18</v>
      </c>
      <c r="K192" s="261"/>
      <c r="L192" s="261"/>
      <c r="M192" s="261"/>
      <c r="N192" s="252">
        <v>4198.5600000000004</v>
      </c>
      <c r="O192" s="252">
        <v>3914.19</v>
      </c>
      <c r="P192" s="259">
        <v>5.22</v>
      </c>
      <c r="Q192" s="261"/>
      <c r="R192" s="231">
        <f t="shared" si="10"/>
        <v>571204.47000000009</v>
      </c>
      <c r="S192" s="231">
        <f>SUM(I192+O192-J192)</f>
        <v>232501.41</v>
      </c>
      <c r="T192" s="443">
        <f>S192-3*U192</f>
        <v>231510.21</v>
      </c>
      <c r="U192" s="445">
        <f t="shared" si="26"/>
        <v>330.40000000000003</v>
      </c>
      <c r="V192" s="443">
        <f t="shared" si="25"/>
        <v>339694.26000000013</v>
      </c>
      <c r="W192" s="238">
        <f t="shared" si="6"/>
        <v>338703.06000000006</v>
      </c>
      <c r="X192" s="231">
        <f t="shared" si="20"/>
        <v>232171.01</v>
      </c>
      <c r="Y192" s="231">
        <f t="shared" si="21"/>
        <v>330.40000000000003</v>
      </c>
      <c r="Z192" s="232">
        <f t="shared" si="22"/>
        <v>339033.46000000008</v>
      </c>
      <c r="AA192" s="22">
        <f t="shared" si="19"/>
        <v>0</v>
      </c>
      <c r="AB192" s="424">
        <f t="shared" si="23"/>
        <v>-5.8548721426632255E-12</v>
      </c>
      <c r="AC192" s="424">
        <f t="shared" si="24"/>
        <v>0</v>
      </c>
    </row>
    <row r="193" spans="1:29" s="149" customFormat="1" ht="14.25" customHeight="1" x14ac:dyDescent="0.25">
      <c r="A193" s="163"/>
      <c r="B193" s="167"/>
      <c r="C193" s="146"/>
      <c r="D193" s="479" t="s">
        <v>518</v>
      </c>
      <c r="E193" s="169"/>
      <c r="F193" s="205"/>
      <c r="G193" s="144"/>
      <c r="H193" s="148"/>
      <c r="I193" s="148"/>
      <c r="J193" s="148"/>
      <c r="N193" s="139"/>
      <c r="O193" s="139"/>
      <c r="P193" s="140"/>
      <c r="R193" s="211"/>
      <c r="S193" s="211"/>
      <c r="T193" s="443"/>
      <c r="U193" s="445"/>
      <c r="V193" s="443"/>
      <c r="W193" s="212"/>
      <c r="X193" s="231">
        <f t="shared" si="20"/>
        <v>0</v>
      </c>
      <c r="Y193" s="231">
        <f t="shared" si="21"/>
        <v>0</v>
      </c>
      <c r="Z193" s="232">
        <f t="shared" si="22"/>
        <v>0</v>
      </c>
      <c r="AA193" s="22">
        <f t="shared" si="19"/>
        <v>0</v>
      </c>
      <c r="AB193" s="424">
        <f t="shared" si="23"/>
        <v>0</v>
      </c>
      <c r="AC193" s="424">
        <f t="shared" si="24"/>
        <v>0</v>
      </c>
    </row>
    <row r="194" spans="1:29" s="185" customFormat="1" ht="14.25" customHeight="1" x14ac:dyDescent="0.25">
      <c r="A194" s="188"/>
      <c r="B194" s="189"/>
      <c r="C194" s="183"/>
      <c r="D194" s="480" t="s">
        <v>523</v>
      </c>
      <c r="E194" s="463"/>
      <c r="F194" s="292">
        <v>66.87</v>
      </c>
      <c r="G194" s="182"/>
      <c r="H194" s="184"/>
      <c r="I194" s="184"/>
      <c r="J194" s="184"/>
      <c r="N194" s="264"/>
      <c r="O194" s="264"/>
      <c r="P194" s="198"/>
      <c r="R194" s="219">
        <f>$R$192/$F$192*F194</f>
        <v>126616.64371299767</v>
      </c>
      <c r="S194" s="219">
        <f>232501.41/301.67*F194</f>
        <v>51537.671252361855</v>
      </c>
      <c r="T194" s="443">
        <f>$T$192/$F$192*F194</f>
        <v>51317.955854741929</v>
      </c>
      <c r="U194" s="445"/>
      <c r="V194" s="443">
        <f t="shared" si="25"/>
        <v>75298.68785825574</v>
      </c>
      <c r="W194" s="220">
        <f>SUM(R194-S194)</f>
        <v>75078.972460635821</v>
      </c>
      <c r="X194" s="231">
        <f t="shared" si="20"/>
        <v>51537.671252361855</v>
      </c>
      <c r="Y194" s="231">
        <f t="shared" si="21"/>
        <v>0</v>
      </c>
      <c r="Z194" s="232">
        <f t="shared" si="22"/>
        <v>75078.972460635821</v>
      </c>
      <c r="AA194" s="22">
        <f t="shared" si="19"/>
        <v>0</v>
      </c>
      <c r="AB194" s="424">
        <f t="shared" si="23"/>
        <v>0</v>
      </c>
      <c r="AC194" s="424">
        <f t="shared" si="24"/>
        <v>0</v>
      </c>
    </row>
    <row r="195" spans="1:29" s="185" customFormat="1" ht="14.25" customHeight="1" x14ac:dyDescent="0.25">
      <c r="A195" s="188"/>
      <c r="B195" s="189"/>
      <c r="C195" s="183"/>
      <c r="D195" s="480" t="s">
        <v>526</v>
      </c>
      <c r="E195" s="463"/>
      <c r="F195" s="292">
        <v>38.24</v>
      </c>
      <c r="G195" s="182"/>
      <c r="H195" s="184"/>
      <c r="I195" s="184"/>
      <c r="J195" s="184"/>
      <c r="N195" s="264"/>
      <c r="O195" s="264"/>
      <c r="P195" s="198"/>
      <c r="R195" s="219">
        <f t="shared" ref="R195:R200" si="40">$R$192/$F$192*F195</f>
        <v>72406.46710909273</v>
      </c>
      <c r="S195" s="219">
        <f t="shared" ref="S195:S200" si="41">232501.41/301.67*F195</f>
        <v>29472.118269632381</v>
      </c>
      <c r="T195" s="443">
        <f t="shared" ref="T195:T200" si="42">$T$192/$F$192*F195</f>
        <v>29346.472736433847</v>
      </c>
      <c r="U195" s="445"/>
      <c r="V195" s="443">
        <f t="shared" si="25"/>
        <v>43059.994372658883</v>
      </c>
      <c r="W195" s="220">
        <f t="shared" ref="W195:W200" si="43">SUM(R195-S195)</f>
        <v>42934.348839460348</v>
      </c>
      <c r="X195" s="231">
        <f t="shared" si="20"/>
        <v>29472.118269632381</v>
      </c>
      <c r="Y195" s="231">
        <f t="shared" si="21"/>
        <v>0</v>
      </c>
      <c r="Z195" s="232">
        <f t="shared" si="22"/>
        <v>42934.348839460348</v>
      </c>
      <c r="AA195" s="22">
        <f t="shared" ref="AA195:AA259" si="44">SUM(U195-Y195)</f>
        <v>0</v>
      </c>
      <c r="AB195" s="424">
        <f t="shared" si="23"/>
        <v>0</v>
      </c>
      <c r="AC195" s="424">
        <f t="shared" si="24"/>
        <v>0</v>
      </c>
    </row>
    <row r="196" spans="1:29" s="185" customFormat="1" ht="14.25" customHeight="1" x14ac:dyDescent="0.25">
      <c r="A196" s="188"/>
      <c r="B196" s="189"/>
      <c r="C196" s="183"/>
      <c r="D196" s="480" t="s">
        <v>527</v>
      </c>
      <c r="E196" s="463"/>
      <c r="F196" s="292">
        <v>31.4</v>
      </c>
      <c r="G196" s="182"/>
      <c r="H196" s="184"/>
      <c r="I196" s="184"/>
      <c r="J196" s="184"/>
      <c r="N196" s="264"/>
      <c r="O196" s="264"/>
      <c r="P196" s="198"/>
      <c r="R196" s="219">
        <f t="shared" si="40"/>
        <v>59455.101130374249</v>
      </c>
      <c r="S196" s="219">
        <f t="shared" si="41"/>
        <v>24200.431842742069</v>
      </c>
      <c r="T196" s="443">
        <f t="shared" si="42"/>
        <v>24097.260562866704</v>
      </c>
      <c r="U196" s="445"/>
      <c r="V196" s="443">
        <f t="shared" si="25"/>
        <v>35357.840567507548</v>
      </c>
      <c r="W196" s="220">
        <f t="shared" si="43"/>
        <v>35254.669287632176</v>
      </c>
      <c r="X196" s="231">
        <f t="shared" ref="X196:X260" si="45">SUM(S196-U196)</f>
        <v>24200.431842742069</v>
      </c>
      <c r="Y196" s="231">
        <f t="shared" ref="Y196:Y260" si="46">SUM(U196)</f>
        <v>0</v>
      </c>
      <c r="Z196" s="232">
        <f t="shared" ref="Z196:Z260" si="47">SUM(U196+W196)</f>
        <v>35254.669287632176</v>
      </c>
      <c r="AA196" s="22">
        <f t="shared" si="44"/>
        <v>0</v>
      </c>
      <c r="AB196" s="424">
        <f t="shared" ref="AB196:AB260" si="48">SUM(S196-X196-U196)</f>
        <v>0</v>
      </c>
      <c r="AC196" s="424">
        <f t="shared" ref="AC196:AC260" si="49">SUM(R196-X196-Z196)</f>
        <v>0</v>
      </c>
    </row>
    <row r="197" spans="1:29" s="185" customFormat="1" ht="14.25" customHeight="1" x14ac:dyDescent="0.25">
      <c r="A197" s="188"/>
      <c r="B197" s="189"/>
      <c r="C197" s="183"/>
      <c r="D197" s="480" t="s">
        <v>510</v>
      </c>
      <c r="E197" s="463"/>
      <c r="F197" s="292">
        <v>49.95</v>
      </c>
      <c r="G197" s="182"/>
      <c r="H197" s="184"/>
      <c r="I197" s="184"/>
      <c r="J197" s="184"/>
      <c r="N197" s="264"/>
      <c r="O197" s="264"/>
      <c r="P197" s="198"/>
      <c r="R197" s="219">
        <f t="shared" si="40"/>
        <v>94579.054186694077</v>
      </c>
      <c r="S197" s="219">
        <f t="shared" si="41"/>
        <v>38497.183775317404</v>
      </c>
      <c r="T197" s="443">
        <f t="shared" si="42"/>
        <v>38333.062583286366</v>
      </c>
      <c r="U197" s="445"/>
      <c r="V197" s="443">
        <f t="shared" si="25"/>
        <v>56245.99160340771</v>
      </c>
      <c r="W197" s="220">
        <f t="shared" si="43"/>
        <v>56081.870411376673</v>
      </c>
      <c r="X197" s="231">
        <f t="shared" si="45"/>
        <v>38497.183775317404</v>
      </c>
      <c r="Y197" s="231">
        <f t="shared" si="46"/>
        <v>0</v>
      </c>
      <c r="Z197" s="232">
        <f t="shared" si="47"/>
        <v>56081.870411376673</v>
      </c>
      <c r="AA197" s="22">
        <f t="shared" si="44"/>
        <v>0</v>
      </c>
      <c r="AB197" s="424">
        <f t="shared" si="48"/>
        <v>0</v>
      </c>
      <c r="AC197" s="424">
        <f t="shared" si="49"/>
        <v>0</v>
      </c>
    </row>
    <row r="198" spans="1:29" s="185" customFormat="1" ht="14.25" customHeight="1" x14ac:dyDescent="0.25">
      <c r="A198" s="188"/>
      <c r="B198" s="189"/>
      <c r="C198" s="183"/>
      <c r="D198" s="480" t="s">
        <v>528</v>
      </c>
      <c r="E198" s="463"/>
      <c r="F198" s="292">
        <v>31.78</v>
      </c>
      <c r="G198" s="182"/>
      <c r="H198" s="184"/>
      <c r="I198" s="184"/>
      <c r="J198" s="184"/>
      <c r="N198" s="264"/>
      <c r="O198" s="264"/>
      <c r="P198" s="198"/>
      <c r="R198" s="219">
        <f t="shared" si="40"/>
        <v>60174.621462525283</v>
      </c>
      <c r="S198" s="219">
        <f t="shared" si="41"/>
        <v>24493.303310902644</v>
      </c>
      <c r="T198" s="443">
        <f t="shared" si="42"/>
        <v>24388.883461398214</v>
      </c>
      <c r="U198" s="445"/>
      <c r="V198" s="443">
        <f t="shared" si="25"/>
        <v>35785.738001127072</v>
      </c>
      <c r="W198" s="220">
        <f t="shared" si="43"/>
        <v>35681.31815162264</v>
      </c>
      <c r="X198" s="231">
        <f t="shared" si="45"/>
        <v>24493.303310902644</v>
      </c>
      <c r="Y198" s="231">
        <f t="shared" si="46"/>
        <v>0</v>
      </c>
      <c r="Z198" s="232">
        <f t="shared" si="47"/>
        <v>35681.31815162264</v>
      </c>
      <c r="AA198" s="22">
        <f t="shared" si="44"/>
        <v>0</v>
      </c>
      <c r="AB198" s="424">
        <f t="shared" si="48"/>
        <v>0</v>
      </c>
      <c r="AC198" s="424">
        <f t="shared" si="49"/>
        <v>0</v>
      </c>
    </row>
    <row r="199" spans="1:29" s="185" customFormat="1" ht="14.25" customHeight="1" x14ac:dyDescent="0.25">
      <c r="A199" s="188"/>
      <c r="B199" s="189"/>
      <c r="C199" s="183"/>
      <c r="D199" s="480" t="s">
        <v>529</v>
      </c>
      <c r="E199" s="463"/>
      <c r="F199" s="292">
        <v>52.35</v>
      </c>
      <c r="G199" s="182"/>
      <c r="H199" s="184"/>
      <c r="I199" s="184"/>
      <c r="J199" s="184"/>
      <c r="N199" s="264"/>
      <c r="O199" s="264"/>
      <c r="P199" s="198"/>
      <c r="R199" s="219">
        <f t="shared" si="40"/>
        <v>99123.3931265953</v>
      </c>
      <c r="S199" s="219">
        <f t="shared" si="41"/>
        <v>40346.898311068391</v>
      </c>
      <c r="T199" s="443">
        <f t="shared" si="42"/>
        <v>40174.891416116945</v>
      </c>
      <c r="U199" s="445"/>
      <c r="V199" s="443">
        <f t="shared" si="25"/>
        <v>58948.501710478355</v>
      </c>
      <c r="W199" s="220">
        <f t="shared" si="43"/>
        <v>58776.494815526908</v>
      </c>
      <c r="X199" s="231">
        <f t="shared" si="45"/>
        <v>40346.898311068391</v>
      </c>
      <c r="Y199" s="231">
        <f t="shared" si="46"/>
        <v>0</v>
      </c>
      <c r="Z199" s="232">
        <f t="shared" si="47"/>
        <v>58776.494815526908</v>
      </c>
      <c r="AA199" s="22">
        <f t="shared" si="44"/>
        <v>0</v>
      </c>
      <c r="AB199" s="424">
        <f t="shared" si="48"/>
        <v>0</v>
      </c>
      <c r="AC199" s="424">
        <f t="shared" si="49"/>
        <v>0</v>
      </c>
    </row>
    <row r="200" spans="1:29" s="185" customFormat="1" ht="14.25" customHeight="1" x14ac:dyDescent="0.25">
      <c r="A200" s="188"/>
      <c r="B200" s="189"/>
      <c r="C200" s="183"/>
      <c r="D200" s="480" t="s">
        <v>530</v>
      </c>
      <c r="E200" s="463"/>
      <c r="F200" s="292">
        <v>31.08</v>
      </c>
      <c r="G200" s="182"/>
      <c r="H200" s="184"/>
      <c r="I200" s="184"/>
      <c r="J200" s="184"/>
      <c r="N200" s="264"/>
      <c r="O200" s="264"/>
      <c r="P200" s="198"/>
      <c r="R200" s="219">
        <f t="shared" si="40"/>
        <v>58849.189271720752</v>
      </c>
      <c r="S200" s="219">
        <f t="shared" si="41"/>
        <v>23953.803237975269</v>
      </c>
      <c r="T200" s="443">
        <f t="shared" si="42"/>
        <v>23851.68338515596</v>
      </c>
      <c r="U200" s="445"/>
      <c r="V200" s="443">
        <f t="shared" si="25"/>
        <v>34997.505886564788</v>
      </c>
      <c r="W200" s="220">
        <f t="shared" si="43"/>
        <v>34895.386033745483</v>
      </c>
      <c r="X200" s="231">
        <f t="shared" si="45"/>
        <v>23953.803237975269</v>
      </c>
      <c r="Y200" s="231">
        <f t="shared" si="46"/>
        <v>0</v>
      </c>
      <c r="Z200" s="232">
        <f t="shared" si="47"/>
        <v>34895.386033745483</v>
      </c>
      <c r="AA200" s="22">
        <f t="shared" si="44"/>
        <v>0</v>
      </c>
      <c r="AB200" s="424">
        <f t="shared" si="48"/>
        <v>0</v>
      </c>
      <c r="AC200" s="424">
        <f t="shared" si="49"/>
        <v>0</v>
      </c>
    </row>
    <row r="201" spans="1:29" s="185" customFormat="1" ht="14.25" customHeight="1" x14ac:dyDescent="0.25">
      <c r="A201" s="190"/>
      <c r="B201" s="191"/>
      <c r="C201" s="192"/>
      <c r="D201" s="481"/>
      <c r="E201" s="464"/>
      <c r="F201" s="210"/>
      <c r="G201" s="193"/>
      <c r="H201" s="194"/>
      <c r="I201" s="194"/>
      <c r="J201" s="194"/>
      <c r="K201" s="195"/>
      <c r="L201" s="195"/>
      <c r="M201" s="195"/>
      <c r="N201" s="196"/>
      <c r="O201" s="196"/>
      <c r="P201" s="197"/>
      <c r="Q201" s="195"/>
      <c r="R201" s="221"/>
      <c r="S201" s="221"/>
      <c r="T201" s="443"/>
      <c r="U201" s="445"/>
      <c r="V201" s="443"/>
      <c r="W201" s="222"/>
      <c r="X201" s="231">
        <f t="shared" si="45"/>
        <v>0</v>
      </c>
      <c r="Y201" s="231">
        <f t="shared" si="46"/>
        <v>0</v>
      </c>
      <c r="Z201" s="232">
        <f t="shared" si="47"/>
        <v>0</v>
      </c>
      <c r="AA201" s="22">
        <f t="shared" si="44"/>
        <v>0</v>
      </c>
      <c r="AB201" s="424">
        <f t="shared" si="48"/>
        <v>0</v>
      </c>
      <c r="AC201" s="424">
        <f t="shared" si="49"/>
        <v>0</v>
      </c>
    </row>
    <row r="202" spans="1:29" s="257" customFormat="1" ht="14.25" customHeight="1" x14ac:dyDescent="0.25">
      <c r="A202" s="224">
        <f>SUM(A192+1)</f>
        <v>55</v>
      </c>
      <c r="B202" s="225" t="s">
        <v>115</v>
      </c>
      <c r="C202" s="226">
        <v>261</v>
      </c>
      <c r="D202" s="225" t="s">
        <v>110</v>
      </c>
      <c r="E202" s="251">
        <v>40</v>
      </c>
      <c r="F202" s="245">
        <v>487.7</v>
      </c>
      <c r="G202" s="258">
        <v>1981</v>
      </c>
      <c r="H202" s="237">
        <f>SUM(Лист1!G64)</f>
        <v>777104.31</v>
      </c>
      <c r="I202" s="237">
        <f>SUM(Лист1!H64)</f>
        <v>128788.45</v>
      </c>
      <c r="J202" s="237">
        <f>SUM(Лист1!I64)</f>
        <v>172.07</v>
      </c>
      <c r="K202" s="261"/>
      <c r="L202" s="261"/>
      <c r="M202" s="261"/>
      <c r="N202" s="259">
        <v>983.03</v>
      </c>
      <c r="O202" s="259">
        <v>946.67</v>
      </c>
      <c r="P202" s="259">
        <v>1.17</v>
      </c>
      <c r="Q202" s="261"/>
      <c r="R202" s="231">
        <f t="shared" si="10"/>
        <v>778087.34000000008</v>
      </c>
      <c r="S202" s="231">
        <f>SUM(I202+O202-J202)</f>
        <v>129563.04999999999</v>
      </c>
      <c r="T202" s="443">
        <f>S202-3*U202</f>
        <v>129043.32999999999</v>
      </c>
      <c r="U202" s="445">
        <f t="shared" si="26"/>
        <v>173.23999999999998</v>
      </c>
      <c r="V202" s="443">
        <f t="shared" si="25"/>
        <v>649044.01000000013</v>
      </c>
      <c r="W202" s="238">
        <f t="shared" si="6"/>
        <v>648524.29</v>
      </c>
      <c r="X202" s="231">
        <f t="shared" si="45"/>
        <v>129389.80999999998</v>
      </c>
      <c r="Y202" s="231">
        <f t="shared" si="46"/>
        <v>173.23999999999998</v>
      </c>
      <c r="Z202" s="232">
        <f t="shared" si="47"/>
        <v>648697.53</v>
      </c>
      <c r="AA202" s="22">
        <f t="shared" si="44"/>
        <v>0</v>
      </c>
      <c r="AB202" s="424">
        <f t="shared" si="48"/>
        <v>5.2580162446247414E-12</v>
      </c>
      <c r="AC202" s="424">
        <f t="shared" si="49"/>
        <v>1.1641532182693481E-10</v>
      </c>
    </row>
    <row r="203" spans="1:29" s="149" customFormat="1" ht="14.25" customHeight="1" x14ac:dyDescent="0.25">
      <c r="A203" s="163"/>
      <c r="B203" s="167"/>
      <c r="C203" s="146"/>
      <c r="D203" s="161" t="s">
        <v>470</v>
      </c>
      <c r="E203" s="147"/>
      <c r="F203" s="205">
        <v>487.7</v>
      </c>
      <c r="G203" s="144"/>
      <c r="H203" s="148"/>
      <c r="I203" s="148"/>
      <c r="J203" s="148"/>
      <c r="N203" s="140"/>
      <c r="O203" s="140"/>
      <c r="P203" s="140"/>
      <c r="R203" s="211"/>
      <c r="S203" s="211"/>
      <c r="T203" s="443"/>
      <c r="U203" s="445"/>
      <c r="V203" s="443"/>
      <c r="W203" s="212"/>
      <c r="X203" s="231">
        <f t="shared" si="45"/>
        <v>0</v>
      </c>
      <c r="Y203" s="231">
        <f t="shared" si="46"/>
        <v>0</v>
      </c>
      <c r="Z203" s="232">
        <f t="shared" si="47"/>
        <v>0</v>
      </c>
      <c r="AA203" s="22">
        <f t="shared" si="44"/>
        <v>0</v>
      </c>
      <c r="AB203" s="424">
        <f t="shared" si="48"/>
        <v>0</v>
      </c>
      <c r="AC203" s="424">
        <f t="shared" si="49"/>
        <v>0</v>
      </c>
    </row>
    <row r="204" spans="1:29" s="149" customFormat="1" ht="14.25" customHeight="1" x14ac:dyDescent="0.25">
      <c r="A204" s="152"/>
      <c r="B204" s="143"/>
      <c r="C204" s="154"/>
      <c r="D204" s="143"/>
      <c r="E204" s="155"/>
      <c r="F204" s="206"/>
      <c r="G204" s="156"/>
      <c r="H204" s="157"/>
      <c r="I204" s="157"/>
      <c r="J204" s="157"/>
      <c r="K204" s="171"/>
      <c r="L204" s="171"/>
      <c r="M204" s="171"/>
      <c r="N204" s="159"/>
      <c r="O204" s="159"/>
      <c r="P204" s="159"/>
      <c r="Q204" s="171"/>
      <c r="R204" s="213"/>
      <c r="S204" s="213"/>
      <c r="T204" s="443"/>
      <c r="U204" s="445"/>
      <c r="V204" s="443"/>
      <c r="W204" s="214"/>
      <c r="X204" s="231">
        <f t="shared" si="45"/>
        <v>0</v>
      </c>
      <c r="Y204" s="231">
        <f t="shared" si="46"/>
        <v>0</v>
      </c>
      <c r="Z204" s="232">
        <f t="shared" si="47"/>
        <v>0</v>
      </c>
      <c r="AA204" s="22">
        <f t="shared" si="44"/>
        <v>0</v>
      </c>
      <c r="AB204" s="424">
        <f t="shared" si="48"/>
        <v>0</v>
      </c>
      <c r="AC204" s="424">
        <f t="shared" si="49"/>
        <v>0</v>
      </c>
    </row>
    <row r="205" spans="1:29" s="257" customFormat="1" ht="14.25" customHeight="1" x14ac:dyDescent="0.25">
      <c r="A205" s="224">
        <f>SUM(A202+1)</f>
        <v>56</v>
      </c>
      <c r="B205" s="225" t="s">
        <v>116</v>
      </c>
      <c r="C205" s="226">
        <v>262</v>
      </c>
      <c r="D205" s="225" t="s">
        <v>110</v>
      </c>
      <c r="E205" s="251">
        <v>36</v>
      </c>
      <c r="F205" s="245">
        <v>66.69</v>
      </c>
      <c r="G205" s="258">
        <v>1980</v>
      </c>
      <c r="H205" s="237">
        <f>SUM(Лист1!G65)</f>
        <v>2020540.49</v>
      </c>
      <c r="I205" s="237">
        <f>SUM(Лист1!H65)</f>
        <v>837470.39</v>
      </c>
      <c r="J205" s="237">
        <f>SUM(Лист1!I65)</f>
        <v>1141.33</v>
      </c>
      <c r="K205" s="261"/>
      <c r="L205" s="261"/>
      <c r="M205" s="261"/>
      <c r="N205" s="259">
        <v>96.06</v>
      </c>
      <c r="O205" s="259">
        <v>86.86</v>
      </c>
      <c r="P205" s="259">
        <v>0.12</v>
      </c>
      <c r="Q205" s="261"/>
      <c r="R205" s="231">
        <f t="shared" si="10"/>
        <v>2020636.55</v>
      </c>
      <c r="S205" s="231">
        <f>SUM(I205+O205-J205)</f>
        <v>836415.92</v>
      </c>
      <c r="T205" s="443">
        <f>S205-3*U205</f>
        <v>832991.57000000007</v>
      </c>
      <c r="U205" s="445">
        <f t="shared" si="26"/>
        <v>1141.4499999999998</v>
      </c>
      <c r="V205" s="443">
        <f t="shared" si="25"/>
        <v>1187644.98</v>
      </c>
      <c r="W205" s="231">
        <f t="shared" si="6"/>
        <v>1184220.6299999999</v>
      </c>
      <c r="X205" s="231">
        <f t="shared" si="45"/>
        <v>835274.47000000009</v>
      </c>
      <c r="Y205" s="231">
        <f t="shared" si="46"/>
        <v>1141.4499999999998</v>
      </c>
      <c r="Z205" s="232">
        <f t="shared" si="47"/>
        <v>1185362.0799999998</v>
      </c>
      <c r="AA205" s="22">
        <f t="shared" si="44"/>
        <v>0</v>
      </c>
      <c r="AB205" s="424">
        <f t="shared" si="48"/>
        <v>-4.638422979041934E-11</v>
      </c>
      <c r="AC205" s="424">
        <f t="shared" si="49"/>
        <v>2.3283064365386963E-10</v>
      </c>
    </row>
    <row r="206" spans="1:29" s="149" customFormat="1" ht="14.25" customHeight="1" x14ac:dyDescent="0.25">
      <c r="A206" s="163"/>
      <c r="B206" s="167"/>
      <c r="C206" s="146"/>
      <c r="D206" s="161" t="s">
        <v>487</v>
      </c>
      <c r="E206" s="147"/>
      <c r="F206" s="205">
        <v>66.69</v>
      </c>
      <c r="G206" s="144"/>
      <c r="H206" s="148"/>
      <c r="I206" s="148"/>
      <c r="J206" s="148"/>
      <c r="N206" s="140"/>
      <c r="O206" s="140"/>
      <c r="P206" s="140"/>
      <c r="R206" s="211"/>
      <c r="S206" s="211"/>
      <c r="T206" s="443"/>
      <c r="U206" s="445"/>
      <c r="V206" s="443"/>
      <c r="W206" s="211"/>
      <c r="X206" s="231">
        <f t="shared" si="45"/>
        <v>0</v>
      </c>
      <c r="Y206" s="231">
        <f t="shared" si="46"/>
        <v>0</v>
      </c>
      <c r="Z206" s="232">
        <f t="shared" si="47"/>
        <v>0</v>
      </c>
      <c r="AA206" s="22">
        <f t="shared" si="44"/>
        <v>0</v>
      </c>
      <c r="AB206" s="424">
        <f t="shared" si="48"/>
        <v>0</v>
      </c>
      <c r="AC206" s="424">
        <f t="shared" si="49"/>
        <v>0</v>
      </c>
    </row>
    <row r="207" spans="1:29" s="149" customFormat="1" ht="14.25" customHeight="1" x14ac:dyDescent="0.25">
      <c r="A207" s="152"/>
      <c r="B207" s="143"/>
      <c r="C207" s="154"/>
      <c r="D207" s="143"/>
      <c r="E207" s="155"/>
      <c r="F207" s="206"/>
      <c r="G207" s="156"/>
      <c r="H207" s="157"/>
      <c r="I207" s="157"/>
      <c r="J207" s="157"/>
      <c r="K207" s="171"/>
      <c r="L207" s="171"/>
      <c r="M207" s="171"/>
      <c r="N207" s="159"/>
      <c r="O207" s="159"/>
      <c r="P207" s="159"/>
      <c r="Q207" s="171"/>
      <c r="R207" s="213"/>
      <c r="S207" s="213"/>
      <c r="T207" s="443"/>
      <c r="U207" s="445"/>
      <c r="V207" s="443"/>
      <c r="W207" s="213"/>
      <c r="X207" s="231">
        <f t="shared" si="45"/>
        <v>0</v>
      </c>
      <c r="Y207" s="231">
        <f t="shared" si="46"/>
        <v>0</v>
      </c>
      <c r="Z207" s="232">
        <f t="shared" si="47"/>
        <v>0</v>
      </c>
      <c r="AA207" s="22">
        <f t="shared" si="44"/>
        <v>0</v>
      </c>
      <c r="AB207" s="424">
        <f t="shared" si="48"/>
        <v>0</v>
      </c>
      <c r="AC207" s="424">
        <f t="shared" si="49"/>
        <v>0</v>
      </c>
    </row>
    <row r="208" spans="1:29" s="257" customFormat="1" ht="14.25" customHeight="1" x14ac:dyDescent="0.25">
      <c r="A208" s="224">
        <f>SUM(A205+1)</f>
        <v>57</v>
      </c>
      <c r="B208" s="225" t="s">
        <v>117</v>
      </c>
      <c r="C208" s="226">
        <v>263</v>
      </c>
      <c r="D208" s="225" t="s">
        <v>110</v>
      </c>
      <c r="E208" s="454">
        <v>34</v>
      </c>
      <c r="F208" s="252">
        <f>SUM(F209:F210)</f>
        <v>516.1</v>
      </c>
      <c r="G208" s="248">
        <v>1980</v>
      </c>
      <c r="H208" s="237">
        <f>SUM(Лист1!G66)</f>
        <v>792087.16</v>
      </c>
      <c r="I208" s="237">
        <f>SUM(Лист1!H66)</f>
        <v>318059.40000000002</v>
      </c>
      <c r="J208" s="237">
        <f>SUM(Лист1!I66)</f>
        <v>430.73</v>
      </c>
      <c r="K208" s="261"/>
      <c r="L208" s="261"/>
      <c r="M208" s="261"/>
      <c r="N208" s="252">
        <v>7116.66</v>
      </c>
      <c r="O208" s="252">
        <v>6652.97</v>
      </c>
      <c r="P208" s="259">
        <v>8.58</v>
      </c>
      <c r="Q208" s="261"/>
      <c r="R208" s="231">
        <f t="shared" si="10"/>
        <v>799203.82000000007</v>
      </c>
      <c r="S208" s="231">
        <f>SUM(I208+O208-J208)</f>
        <v>324281.64</v>
      </c>
      <c r="T208" s="443">
        <f>S208-3*U208</f>
        <v>322963.71000000002</v>
      </c>
      <c r="U208" s="445">
        <f t="shared" ref="U208:U272" si="50">J208+P208</f>
        <v>439.31</v>
      </c>
      <c r="V208" s="443">
        <f t="shared" ref="V208:V272" si="51">R208-T208</f>
        <v>476240.11000000004</v>
      </c>
      <c r="W208" s="238">
        <f t="shared" si="6"/>
        <v>474922.18000000005</v>
      </c>
      <c r="X208" s="231">
        <f t="shared" si="45"/>
        <v>323842.33</v>
      </c>
      <c r="Y208" s="231">
        <f t="shared" si="46"/>
        <v>439.31</v>
      </c>
      <c r="Z208" s="232">
        <f t="shared" si="47"/>
        <v>475361.49000000005</v>
      </c>
      <c r="AA208" s="22">
        <f t="shared" si="44"/>
        <v>0</v>
      </c>
      <c r="AB208" s="424">
        <f t="shared" si="48"/>
        <v>-2.3305801732931286E-12</v>
      </c>
      <c r="AC208" s="424">
        <f t="shared" si="49"/>
        <v>0</v>
      </c>
    </row>
    <row r="209" spans="1:29" s="149" customFormat="1" ht="14.25" customHeight="1" x14ac:dyDescent="0.25">
      <c r="A209" s="163"/>
      <c r="B209" s="167"/>
      <c r="C209" s="146"/>
      <c r="D209" s="161" t="s">
        <v>473</v>
      </c>
      <c r="E209" s="169"/>
      <c r="F209" s="139">
        <v>132.1</v>
      </c>
      <c r="G209" s="249"/>
      <c r="H209" s="148"/>
      <c r="I209" s="148"/>
      <c r="J209" s="148"/>
      <c r="N209" s="139"/>
      <c r="O209" s="139"/>
      <c r="P209" s="140"/>
      <c r="R209" s="211">
        <f>$R$208/F208*F209</f>
        <v>204562.72935865144</v>
      </c>
      <c r="S209" s="211"/>
      <c r="T209" s="443">
        <f>$T$208/$F$208*F209</f>
        <v>82665.192968416974</v>
      </c>
      <c r="U209" s="445"/>
      <c r="V209" s="443">
        <f t="shared" si="51"/>
        <v>121897.53639023447</v>
      </c>
      <c r="W209" s="212"/>
      <c r="X209" s="231">
        <f t="shared" si="45"/>
        <v>0</v>
      </c>
      <c r="Y209" s="231">
        <f t="shared" si="46"/>
        <v>0</v>
      </c>
      <c r="Z209" s="232">
        <f t="shared" si="47"/>
        <v>0</v>
      </c>
      <c r="AA209" s="22">
        <f t="shared" si="44"/>
        <v>0</v>
      </c>
      <c r="AB209" s="424">
        <f t="shared" si="48"/>
        <v>0</v>
      </c>
      <c r="AC209" s="424">
        <f t="shared" si="49"/>
        <v>204562.72935865144</v>
      </c>
    </row>
    <row r="210" spans="1:29" s="149" customFormat="1" ht="14.25" customHeight="1" x14ac:dyDescent="0.25">
      <c r="A210" s="163"/>
      <c r="B210" s="167"/>
      <c r="C210" s="146"/>
      <c r="D210" s="161" t="s">
        <v>470</v>
      </c>
      <c r="E210" s="169"/>
      <c r="F210" s="139">
        <v>384</v>
      </c>
      <c r="G210" s="249"/>
      <c r="H210" s="148"/>
      <c r="I210" s="148"/>
      <c r="J210" s="148"/>
      <c r="N210" s="139"/>
      <c r="O210" s="139"/>
      <c r="P210" s="140"/>
      <c r="R210" s="211">
        <f>$R$208/F209*F210</f>
        <v>2323196.5698713101</v>
      </c>
      <c r="S210" s="211"/>
      <c r="T210" s="443">
        <f>$T$208/$F$208*F210</f>
        <v>240298.51703158306</v>
      </c>
      <c r="U210" s="445"/>
      <c r="V210" s="443">
        <f t="shared" si="51"/>
        <v>2082898.0528397271</v>
      </c>
      <c r="W210" s="212"/>
      <c r="X210" s="231">
        <f t="shared" si="45"/>
        <v>0</v>
      </c>
      <c r="Y210" s="231">
        <f t="shared" si="46"/>
        <v>0</v>
      </c>
      <c r="Z210" s="232">
        <f t="shared" si="47"/>
        <v>0</v>
      </c>
      <c r="AA210" s="22">
        <f t="shared" si="44"/>
        <v>0</v>
      </c>
      <c r="AB210" s="424">
        <f t="shared" si="48"/>
        <v>0</v>
      </c>
      <c r="AC210" s="424">
        <f t="shared" si="49"/>
        <v>2323196.5698713101</v>
      </c>
    </row>
    <row r="211" spans="1:29" s="149" customFormat="1" ht="14.25" customHeight="1" x14ac:dyDescent="0.25">
      <c r="A211" s="152"/>
      <c r="B211" s="143"/>
      <c r="C211" s="154"/>
      <c r="D211" s="162"/>
      <c r="E211" s="170"/>
      <c r="F211" s="158"/>
      <c r="G211" s="142"/>
      <c r="H211" s="157"/>
      <c r="I211" s="157"/>
      <c r="J211" s="157"/>
      <c r="K211" s="171"/>
      <c r="L211" s="171"/>
      <c r="M211" s="171"/>
      <c r="N211" s="158"/>
      <c r="O211" s="158"/>
      <c r="P211" s="159"/>
      <c r="Q211" s="171"/>
      <c r="R211" s="213"/>
      <c r="S211" s="213"/>
      <c r="T211" s="443"/>
      <c r="U211" s="445"/>
      <c r="V211" s="443"/>
      <c r="W211" s="214"/>
      <c r="X211" s="231">
        <f t="shared" si="45"/>
        <v>0</v>
      </c>
      <c r="Y211" s="231">
        <f t="shared" si="46"/>
        <v>0</v>
      </c>
      <c r="Z211" s="232">
        <f t="shared" si="47"/>
        <v>0</v>
      </c>
      <c r="AA211" s="22">
        <f t="shared" si="44"/>
        <v>0</v>
      </c>
      <c r="AB211" s="424">
        <f t="shared" si="48"/>
        <v>0</v>
      </c>
      <c r="AC211" s="424">
        <f t="shared" si="49"/>
        <v>0</v>
      </c>
    </row>
    <row r="212" spans="1:29" s="257" customFormat="1" ht="14.25" customHeight="1" x14ac:dyDescent="0.25">
      <c r="A212" s="224">
        <f>SUM(A208+1)</f>
        <v>58</v>
      </c>
      <c r="B212" s="225" t="s">
        <v>118</v>
      </c>
      <c r="C212" s="226">
        <v>264</v>
      </c>
      <c r="D212" s="225" t="s">
        <v>77</v>
      </c>
      <c r="E212" s="454">
        <v>183</v>
      </c>
      <c r="F212" s="252">
        <v>253.83</v>
      </c>
      <c r="G212" s="248">
        <v>1985</v>
      </c>
      <c r="H212" s="237">
        <f>SUM(Лист1!G67)</f>
        <v>327488.56</v>
      </c>
      <c r="I212" s="237">
        <f>SUM(Лист1!H67)</f>
        <v>139012.79999999999</v>
      </c>
      <c r="J212" s="237">
        <f>SUM(Лист1!I67)</f>
        <v>185.16</v>
      </c>
      <c r="K212" s="261"/>
      <c r="L212" s="261"/>
      <c r="M212" s="261"/>
      <c r="N212" s="252">
        <v>2606.09</v>
      </c>
      <c r="O212" s="252">
        <v>2303.83</v>
      </c>
      <c r="P212" s="259">
        <v>2.93</v>
      </c>
      <c r="Q212" s="261"/>
      <c r="R212" s="231">
        <f t="shared" si="10"/>
        <v>330094.65000000002</v>
      </c>
      <c r="S212" s="231">
        <f>SUM(I212+O212-J212)</f>
        <v>141131.46999999997</v>
      </c>
      <c r="T212" s="443">
        <f>S212-3*U212</f>
        <v>140567.19999999998</v>
      </c>
      <c r="U212" s="445">
        <f t="shared" si="50"/>
        <v>188.09</v>
      </c>
      <c r="V212" s="443">
        <f t="shared" si="51"/>
        <v>189527.45000000004</v>
      </c>
      <c r="W212" s="238">
        <f t="shared" si="6"/>
        <v>188963.18000000005</v>
      </c>
      <c r="X212" s="231">
        <f t="shared" si="45"/>
        <v>140943.37999999998</v>
      </c>
      <c r="Y212" s="231">
        <f t="shared" si="46"/>
        <v>188.09</v>
      </c>
      <c r="Z212" s="232">
        <f t="shared" si="47"/>
        <v>189151.27000000005</v>
      </c>
      <c r="AA212" s="22">
        <f t="shared" si="44"/>
        <v>0</v>
      </c>
      <c r="AB212" s="424">
        <f t="shared" si="48"/>
        <v>-3.4958702599396929E-12</v>
      </c>
      <c r="AC212" s="424">
        <f t="shared" si="49"/>
        <v>0</v>
      </c>
    </row>
    <row r="213" spans="1:29" s="149" customFormat="1" ht="14.25" customHeight="1" x14ac:dyDescent="0.25">
      <c r="A213" s="163"/>
      <c r="B213" s="167"/>
      <c r="C213" s="146"/>
      <c r="D213" s="335" t="s">
        <v>518</v>
      </c>
      <c r="E213" s="169"/>
      <c r="F213" s="139"/>
      <c r="G213" s="249"/>
      <c r="H213" s="148"/>
      <c r="I213" s="148"/>
      <c r="J213" s="148"/>
      <c r="N213" s="139"/>
      <c r="O213" s="139"/>
      <c r="P213" s="140"/>
      <c r="R213" s="211"/>
      <c r="S213" s="211"/>
      <c r="T213" s="443">
        <f t="shared" ref="T213:T229" si="52">S213-U213</f>
        <v>0</v>
      </c>
      <c r="U213" s="445">
        <f t="shared" si="50"/>
        <v>0</v>
      </c>
      <c r="V213" s="443">
        <f t="shared" si="51"/>
        <v>0</v>
      </c>
      <c r="W213" s="212"/>
      <c r="X213" s="231">
        <f t="shared" si="45"/>
        <v>0</v>
      </c>
      <c r="Y213" s="231">
        <f t="shared" si="46"/>
        <v>0</v>
      </c>
      <c r="Z213" s="232">
        <f t="shared" si="47"/>
        <v>0</v>
      </c>
      <c r="AA213" s="22">
        <f t="shared" si="44"/>
        <v>0</v>
      </c>
      <c r="AB213" s="424">
        <f t="shared" si="48"/>
        <v>0</v>
      </c>
      <c r="AC213" s="424">
        <f t="shared" si="49"/>
        <v>0</v>
      </c>
    </row>
    <row r="214" spans="1:29" s="149" customFormat="1" ht="14.25" customHeight="1" x14ac:dyDescent="0.25">
      <c r="A214" s="163"/>
      <c r="B214" s="167"/>
      <c r="C214" s="146"/>
      <c r="D214" s="250" t="s">
        <v>531</v>
      </c>
      <c r="E214" s="169"/>
      <c r="F214" s="139">
        <v>75.3</v>
      </c>
      <c r="G214" s="249"/>
      <c r="H214" s="148"/>
      <c r="I214" s="148"/>
      <c r="J214" s="148"/>
      <c r="N214" s="139"/>
      <c r="O214" s="139"/>
      <c r="P214" s="140"/>
      <c r="R214" s="211">
        <f>$R$212/$F$212*F214</f>
        <v>97924.308178702282</v>
      </c>
      <c r="S214" s="211">
        <f>141131.47/253.83*F214</f>
        <v>41867.390343930972</v>
      </c>
      <c r="T214" s="443">
        <f>$T$212/$F$212*F214</f>
        <v>41699.996690698492</v>
      </c>
      <c r="U214" s="445">
        <f t="shared" si="50"/>
        <v>0</v>
      </c>
      <c r="V214" s="443">
        <f t="shared" si="51"/>
        <v>56224.31148800379</v>
      </c>
      <c r="W214" s="212">
        <f>SUM(R214-S214)</f>
        <v>56056.91783477131</v>
      </c>
      <c r="X214" s="231">
        <f t="shared" si="45"/>
        <v>41867.390343930972</v>
      </c>
      <c r="Y214" s="231">
        <f t="shared" si="46"/>
        <v>0</v>
      </c>
      <c r="Z214" s="232">
        <f t="shared" si="47"/>
        <v>56056.91783477131</v>
      </c>
      <c r="AA214" s="22">
        <f t="shared" si="44"/>
        <v>0</v>
      </c>
      <c r="AB214" s="424">
        <f t="shared" si="48"/>
        <v>0</v>
      </c>
      <c r="AC214" s="424">
        <f t="shared" si="49"/>
        <v>0</v>
      </c>
    </row>
    <row r="215" spans="1:29" s="149" customFormat="1" ht="14.25" customHeight="1" x14ac:dyDescent="0.25">
      <c r="A215" s="163"/>
      <c r="B215" s="167"/>
      <c r="C215" s="146"/>
      <c r="D215" s="250" t="s">
        <v>532</v>
      </c>
      <c r="E215" s="169"/>
      <c r="F215" s="139">
        <v>65.17</v>
      </c>
      <c r="G215" s="249"/>
      <c r="H215" s="148"/>
      <c r="I215" s="148"/>
      <c r="J215" s="148"/>
      <c r="N215" s="139"/>
      <c r="O215" s="139"/>
      <c r="P215" s="140"/>
      <c r="R215" s="211">
        <f t="shared" ref="R215:R217" si="53">$R$212/$F$212*F215</f>
        <v>84750.692749084046</v>
      </c>
      <c r="S215" s="211">
        <f t="shared" ref="S215:S217" si="54">141131.47/253.83*F215</f>
        <v>36235.030925816493</v>
      </c>
      <c r="T215" s="443">
        <f t="shared" ref="T215:T217" si="55">$T$212/$F$212*F215</f>
        <v>36090.156498443837</v>
      </c>
      <c r="U215" s="445">
        <f t="shared" si="50"/>
        <v>0</v>
      </c>
      <c r="V215" s="443">
        <f t="shared" si="51"/>
        <v>48660.536250640209</v>
      </c>
      <c r="W215" s="212">
        <f t="shared" ref="W215:W217" si="56">SUM(R215-S215)</f>
        <v>48515.661823267554</v>
      </c>
      <c r="X215" s="231">
        <f t="shared" si="45"/>
        <v>36235.030925816493</v>
      </c>
      <c r="Y215" s="231">
        <f t="shared" si="46"/>
        <v>0</v>
      </c>
      <c r="Z215" s="232">
        <f t="shared" si="47"/>
        <v>48515.661823267554</v>
      </c>
      <c r="AA215" s="22">
        <f t="shared" si="44"/>
        <v>0</v>
      </c>
      <c r="AB215" s="424">
        <f t="shared" si="48"/>
        <v>0</v>
      </c>
      <c r="AC215" s="424">
        <f t="shared" si="49"/>
        <v>0</v>
      </c>
    </row>
    <row r="216" spans="1:29" s="149" customFormat="1" ht="14.25" customHeight="1" x14ac:dyDescent="0.25">
      <c r="A216" s="163"/>
      <c r="B216" s="167"/>
      <c r="C216" s="146"/>
      <c r="D216" s="250" t="s">
        <v>533</v>
      </c>
      <c r="E216" s="169"/>
      <c r="F216" s="139">
        <v>75.400000000000006</v>
      </c>
      <c r="G216" s="249"/>
      <c r="H216" s="148"/>
      <c r="I216" s="148"/>
      <c r="J216" s="148"/>
      <c r="N216" s="139"/>
      <c r="O216" s="139"/>
      <c r="P216" s="140"/>
      <c r="R216" s="211">
        <f t="shared" si="53"/>
        <v>98054.353740692604</v>
      </c>
      <c r="S216" s="211">
        <f t="shared" si="54"/>
        <v>41922.991127920264</v>
      </c>
      <c r="T216" s="443">
        <f t="shared" si="55"/>
        <v>41755.375172359447</v>
      </c>
      <c r="U216" s="445">
        <f t="shared" si="50"/>
        <v>0</v>
      </c>
      <c r="V216" s="443">
        <f t="shared" si="51"/>
        <v>56298.978568333157</v>
      </c>
      <c r="W216" s="212">
        <f t="shared" si="56"/>
        <v>56131.36261277234</v>
      </c>
      <c r="X216" s="231">
        <f t="shared" si="45"/>
        <v>41922.991127920264</v>
      </c>
      <c r="Y216" s="231">
        <f t="shared" si="46"/>
        <v>0</v>
      </c>
      <c r="Z216" s="232">
        <f t="shared" si="47"/>
        <v>56131.36261277234</v>
      </c>
      <c r="AA216" s="22">
        <f t="shared" si="44"/>
        <v>0</v>
      </c>
      <c r="AB216" s="424">
        <f t="shared" si="48"/>
        <v>0</v>
      </c>
      <c r="AC216" s="424">
        <f t="shared" si="49"/>
        <v>0</v>
      </c>
    </row>
    <row r="217" spans="1:29" s="149" customFormat="1" ht="14.25" customHeight="1" x14ac:dyDescent="0.25">
      <c r="A217" s="163"/>
      <c r="B217" s="167"/>
      <c r="C217" s="146"/>
      <c r="D217" s="250" t="s">
        <v>534</v>
      </c>
      <c r="E217" s="169"/>
      <c r="F217" s="139">
        <v>37.96</v>
      </c>
      <c r="G217" s="249"/>
      <c r="H217" s="148"/>
      <c r="I217" s="148"/>
      <c r="J217" s="148"/>
      <c r="N217" s="139"/>
      <c r="O217" s="139"/>
      <c r="P217" s="140"/>
      <c r="R217" s="211">
        <f t="shared" si="53"/>
        <v>49365.295331521105</v>
      </c>
      <c r="S217" s="211">
        <f t="shared" si="54"/>
        <v>21106.057602332268</v>
      </c>
      <c r="T217" s="443">
        <f t="shared" si="55"/>
        <v>21021.671638498206</v>
      </c>
      <c r="U217" s="445">
        <f t="shared" si="50"/>
        <v>0</v>
      </c>
      <c r="V217" s="443">
        <f t="shared" si="51"/>
        <v>28343.623693022899</v>
      </c>
      <c r="W217" s="212">
        <f t="shared" si="56"/>
        <v>28259.237729188837</v>
      </c>
      <c r="X217" s="231">
        <f t="shared" si="45"/>
        <v>21106.057602332268</v>
      </c>
      <c r="Y217" s="231">
        <f t="shared" si="46"/>
        <v>0</v>
      </c>
      <c r="Z217" s="232">
        <f t="shared" si="47"/>
        <v>28259.237729188837</v>
      </c>
      <c r="AA217" s="22">
        <f t="shared" si="44"/>
        <v>0</v>
      </c>
      <c r="AB217" s="424">
        <f t="shared" si="48"/>
        <v>0</v>
      </c>
      <c r="AC217" s="424">
        <f t="shared" si="49"/>
        <v>0</v>
      </c>
    </row>
    <row r="218" spans="1:29" s="149" customFormat="1" ht="14.25" customHeight="1" x14ac:dyDescent="0.25">
      <c r="A218" s="152"/>
      <c r="B218" s="143"/>
      <c r="C218" s="154"/>
      <c r="D218" s="143"/>
      <c r="E218" s="170"/>
      <c r="F218" s="158"/>
      <c r="G218" s="142"/>
      <c r="H218" s="157"/>
      <c r="I218" s="157"/>
      <c r="J218" s="157"/>
      <c r="K218" s="171"/>
      <c r="L218" s="171"/>
      <c r="M218" s="171"/>
      <c r="N218" s="158"/>
      <c r="O218" s="158"/>
      <c r="P218" s="159"/>
      <c r="Q218" s="171"/>
      <c r="R218" s="213"/>
      <c r="S218" s="213"/>
      <c r="T218" s="443"/>
      <c r="U218" s="445"/>
      <c r="V218" s="443"/>
      <c r="W218" s="214"/>
      <c r="X218" s="231">
        <f t="shared" si="45"/>
        <v>0</v>
      </c>
      <c r="Y218" s="231">
        <f t="shared" si="46"/>
        <v>0</v>
      </c>
      <c r="Z218" s="232">
        <f t="shared" si="47"/>
        <v>0</v>
      </c>
      <c r="AA218" s="22">
        <f t="shared" si="44"/>
        <v>0</v>
      </c>
      <c r="AB218" s="424">
        <f t="shared" si="48"/>
        <v>0</v>
      </c>
      <c r="AC218" s="424">
        <f t="shared" si="49"/>
        <v>0</v>
      </c>
    </row>
    <row r="219" spans="1:29" s="257" customFormat="1" ht="14.25" customHeight="1" x14ac:dyDescent="0.25">
      <c r="A219" s="224">
        <f>SUM(A212+1)</f>
        <v>59</v>
      </c>
      <c r="B219" s="225" t="s">
        <v>119</v>
      </c>
      <c r="C219" s="226">
        <v>267</v>
      </c>
      <c r="D219" s="225" t="s">
        <v>120</v>
      </c>
      <c r="E219" s="454">
        <v>38</v>
      </c>
      <c r="F219" s="252">
        <f>F220</f>
        <v>28.01</v>
      </c>
      <c r="G219" s="248">
        <v>1961</v>
      </c>
      <c r="H219" s="237">
        <f>SUM(Лист1!G68)</f>
        <v>30697.75</v>
      </c>
      <c r="I219" s="237">
        <f>SUM(Лист1!H68)</f>
        <v>7411.6</v>
      </c>
      <c r="J219" s="237">
        <f>SUM(Лист1!I68)</f>
        <v>18.98</v>
      </c>
      <c r="K219" s="261"/>
      <c r="L219" s="261"/>
      <c r="M219" s="261"/>
      <c r="N219" s="259">
        <v>139.24</v>
      </c>
      <c r="O219" s="259">
        <v>97.71</v>
      </c>
      <c r="P219" s="259">
        <v>0.23</v>
      </c>
      <c r="Q219" s="261"/>
      <c r="R219" s="231">
        <f t="shared" si="10"/>
        <v>30836.99</v>
      </c>
      <c r="S219" s="231">
        <f>SUM(I219+O219-J219)</f>
        <v>7490.3300000000008</v>
      </c>
      <c r="T219" s="443">
        <f>S219-3*U219</f>
        <v>7432.7000000000007</v>
      </c>
      <c r="U219" s="445">
        <f t="shared" si="50"/>
        <v>19.21</v>
      </c>
      <c r="V219" s="443">
        <f t="shared" si="51"/>
        <v>23404.29</v>
      </c>
      <c r="W219" s="238">
        <f t="shared" si="6"/>
        <v>23346.66</v>
      </c>
      <c r="X219" s="231">
        <f t="shared" si="45"/>
        <v>7471.1200000000008</v>
      </c>
      <c r="Y219" s="231">
        <f t="shared" si="46"/>
        <v>19.21</v>
      </c>
      <c r="Z219" s="232">
        <f t="shared" si="47"/>
        <v>23365.87</v>
      </c>
      <c r="AA219" s="22">
        <f t="shared" si="44"/>
        <v>0</v>
      </c>
      <c r="AB219" s="424">
        <f t="shared" si="48"/>
        <v>3.5527136788005009E-14</v>
      </c>
      <c r="AC219" s="424">
        <f t="shared" si="49"/>
        <v>3.637978807091713E-12</v>
      </c>
    </row>
    <row r="220" spans="1:29" s="269" customFormat="1" ht="14.25" customHeight="1" x14ac:dyDescent="0.25">
      <c r="A220" s="272"/>
      <c r="B220" s="276"/>
      <c r="C220" s="266"/>
      <c r="D220" s="296" t="s">
        <v>488</v>
      </c>
      <c r="E220" s="457"/>
      <c r="F220" s="268">
        <v>28.01</v>
      </c>
      <c r="G220" s="278"/>
      <c r="H220" s="151"/>
      <c r="I220" s="151"/>
      <c r="J220" s="151"/>
      <c r="N220" s="315"/>
      <c r="O220" s="315"/>
      <c r="P220" s="315"/>
      <c r="R220" s="274"/>
      <c r="S220" s="274"/>
      <c r="T220" s="443"/>
      <c r="U220" s="445"/>
      <c r="V220" s="443"/>
      <c r="W220" s="295"/>
      <c r="X220" s="231">
        <f t="shared" si="45"/>
        <v>0</v>
      </c>
      <c r="Y220" s="231">
        <f t="shared" si="46"/>
        <v>0</v>
      </c>
      <c r="Z220" s="232">
        <f t="shared" si="47"/>
        <v>0</v>
      </c>
      <c r="AA220" s="22">
        <f t="shared" si="44"/>
        <v>0</v>
      </c>
      <c r="AB220" s="424">
        <f t="shared" si="48"/>
        <v>0</v>
      </c>
      <c r="AC220" s="424">
        <f t="shared" si="49"/>
        <v>0</v>
      </c>
    </row>
    <row r="221" spans="1:29" s="149" customFormat="1" ht="14.25" customHeight="1" x14ac:dyDescent="0.25">
      <c r="A221" s="152"/>
      <c r="B221" s="143"/>
      <c r="C221" s="154"/>
      <c r="D221" s="143"/>
      <c r="E221" s="170"/>
      <c r="F221" s="158"/>
      <c r="G221" s="142"/>
      <c r="H221" s="157"/>
      <c r="I221" s="157"/>
      <c r="J221" s="157"/>
      <c r="K221" s="171"/>
      <c r="L221" s="171"/>
      <c r="M221" s="171"/>
      <c r="N221" s="159"/>
      <c r="O221" s="159"/>
      <c r="P221" s="159"/>
      <c r="Q221" s="171"/>
      <c r="R221" s="213"/>
      <c r="S221" s="213"/>
      <c r="T221" s="443"/>
      <c r="U221" s="445"/>
      <c r="V221" s="443"/>
      <c r="W221" s="214"/>
      <c r="X221" s="231">
        <f t="shared" si="45"/>
        <v>0</v>
      </c>
      <c r="Y221" s="231">
        <f t="shared" si="46"/>
        <v>0</v>
      </c>
      <c r="Z221" s="232">
        <f t="shared" si="47"/>
        <v>0</v>
      </c>
      <c r="AA221" s="22">
        <f t="shared" si="44"/>
        <v>0</v>
      </c>
      <c r="AB221" s="424">
        <f t="shared" si="48"/>
        <v>0</v>
      </c>
      <c r="AC221" s="424">
        <f t="shared" si="49"/>
        <v>0</v>
      </c>
    </row>
    <row r="222" spans="1:29" s="257" customFormat="1" ht="14.25" customHeight="1" x14ac:dyDescent="0.25">
      <c r="A222" s="224">
        <f>SUM(A219+1)</f>
        <v>60</v>
      </c>
      <c r="B222" s="225" t="s">
        <v>121</v>
      </c>
      <c r="C222" s="226">
        <v>268</v>
      </c>
      <c r="D222" s="225" t="s">
        <v>120</v>
      </c>
      <c r="E222" s="454">
        <v>40</v>
      </c>
      <c r="F222" s="245">
        <f>F223</f>
        <v>43</v>
      </c>
      <c r="G222" s="258">
        <v>1962</v>
      </c>
      <c r="H222" s="237">
        <f>SUM(Лист1!G69)</f>
        <v>63408.82</v>
      </c>
      <c r="I222" s="237">
        <f>SUM(Лист1!H69)</f>
        <v>17677.64</v>
      </c>
      <c r="J222" s="237">
        <f>SUM(Лист1!I69)</f>
        <v>37.64</v>
      </c>
      <c r="K222" s="261"/>
      <c r="L222" s="261"/>
      <c r="M222" s="261"/>
      <c r="N222" s="259">
        <v>137.74</v>
      </c>
      <c r="O222" s="259">
        <v>111</v>
      </c>
      <c r="P222" s="259">
        <v>0.23</v>
      </c>
      <c r="Q222" s="261"/>
      <c r="R222" s="231">
        <f t="shared" si="10"/>
        <v>63546.559999999998</v>
      </c>
      <c r="S222" s="231">
        <f>SUM(I222+O222-J222)</f>
        <v>17751</v>
      </c>
      <c r="T222" s="443">
        <f>S222-3*U222</f>
        <v>17637.39</v>
      </c>
      <c r="U222" s="445">
        <f t="shared" si="50"/>
        <v>37.869999999999997</v>
      </c>
      <c r="V222" s="443">
        <f t="shared" si="51"/>
        <v>45909.17</v>
      </c>
      <c r="W222" s="231">
        <f t="shared" si="6"/>
        <v>45795.56</v>
      </c>
      <c r="X222" s="231">
        <f t="shared" si="45"/>
        <v>17713.13</v>
      </c>
      <c r="Y222" s="231">
        <f t="shared" si="46"/>
        <v>37.869999999999997</v>
      </c>
      <c r="Z222" s="232">
        <f t="shared" si="47"/>
        <v>45833.43</v>
      </c>
      <c r="AA222" s="22">
        <f t="shared" si="44"/>
        <v>0</v>
      </c>
      <c r="AB222" s="424">
        <f t="shared" si="48"/>
        <v>-1.0160761121369433E-12</v>
      </c>
      <c r="AC222" s="424">
        <f t="shared" si="49"/>
        <v>-7.2759576141834259E-12</v>
      </c>
    </row>
    <row r="223" spans="1:29" s="269" customFormat="1" ht="14.25" customHeight="1" x14ac:dyDescent="0.25">
      <c r="A223" s="272"/>
      <c r="B223" s="276"/>
      <c r="C223" s="266"/>
      <c r="D223" s="296" t="s">
        <v>489</v>
      </c>
      <c r="E223" s="457"/>
      <c r="F223" s="277">
        <v>43</v>
      </c>
      <c r="G223" s="265"/>
      <c r="H223" s="151"/>
      <c r="I223" s="151"/>
      <c r="J223" s="151"/>
      <c r="N223" s="315"/>
      <c r="O223" s="315"/>
      <c r="P223" s="315"/>
      <c r="R223" s="274"/>
      <c r="S223" s="274"/>
      <c r="T223" s="443"/>
      <c r="U223" s="445"/>
      <c r="V223" s="443"/>
      <c r="W223" s="274"/>
      <c r="X223" s="231">
        <f t="shared" si="45"/>
        <v>0</v>
      </c>
      <c r="Y223" s="231">
        <f t="shared" si="46"/>
        <v>0</v>
      </c>
      <c r="Z223" s="232">
        <f t="shared" si="47"/>
        <v>0</v>
      </c>
      <c r="AA223" s="22">
        <f t="shared" si="44"/>
        <v>0</v>
      </c>
      <c r="AB223" s="424">
        <f t="shared" si="48"/>
        <v>0</v>
      </c>
      <c r="AC223" s="424">
        <f t="shared" si="49"/>
        <v>0</v>
      </c>
    </row>
    <row r="224" spans="1:29" s="149" customFormat="1" ht="14.25" customHeight="1" x14ac:dyDescent="0.25">
      <c r="A224" s="152"/>
      <c r="B224" s="143"/>
      <c r="C224" s="154"/>
      <c r="D224" s="143"/>
      <c r="E224" s="170"/>
      <c r="F224" s="206"/>
      <c r="G224" s="156"/>
      <c r="H224" s="157"/>
      <c r="I224" s="157"/>
      <c r="J224" s="157"/>
      <c r="K224" s="171"/>
      <c r="L224" s="171"/>
      <c r="M224" s="171"/>
      <c r="N224" s="159"/>
      <c r="O224" s="159"/>
      <c r="P224" s="159"/>
      <c r="Q224" s="171"/>
      <c r="R224" s="213"/>
      <c r="S224" s="213"/>
      <c r="T224" s="443"/>
      <c r="U224" s="445"/>
      <c r="V224" s="443"/>
      <c r="W224" s="213"/>
      <c r="X224" s="231">
        <f t="shared" si="45"/>
        <v>0</v>
      </c>
      <c r="Y224" s="231">
        <f t="shared" si="46"/>
        <v>0</v>
      </c>
      <c r="Z224" s="232">
        <f t="shared" si="47"/>
        <v>0</v>
      </c>
      <c r="AA224" s="22">
        <f t="shared" si="44"/>
        <v>0</v>
      </c>
      <c r="AB224" s="424">
        <f t="shared" si="48"/>
        <v>0</v>
      </c>
      <c r="AC224" s="424">
        <f t="shared" si="49"/>
        <v>0</v>
      </c>
    </row>
    <row r="225" spans="1:35" s="257" customFormat="1" ht="14.25" customHeight="1" x14ac:dyDescent="0.25">
      <c r="A225" s="224">
        <f>SUM(A222+1)</f>
        <v>61</v>
      </c>
      <c r="B225" s="225" t="s">
        <v>122</v>
      </c>
      <c r="C225" s="226">
        <v>269</v>
      </c>
      <c r="D225" s="225" t="s">
        <v>120</v>
      </c>
      <c r="E225" s="454">
        <v>42</v>
      </c>
      <c r="F225" s="252">
        <v>120.74</v>
      </c>
      <c r="G225" s="248">
        <v>1980</v>
      </c>
      <c r="H225" s="237">
        <f>SUM(Лист1!G70)</f>
        <v>205933.04</v>
      </c>
      <c r="I225" s="237">
        <f>SUM(Лист1!H70)</f>
        <v>79779.66</v>
      </c>
      <c r="J225" s="237">
        <f>SUM(Лист1!I70)</f>
        <v>111.79</v>
      </c>
      <c r="K225" s="261"/>
      <c r="L225" s="261"/>
      <c r="M225" s="261"/>
      <c r="N225" s="261"/>
      <c r="O225" s="261"/>
      <c r="P225" s="261"/>
      <c r="Q225" s="261"/>
      <c r="R225" s="231">
        <f t="shared" si="10"/>
        <v>205933.04</v>
      </c>
      <c r="S225" s="231">
        <f>SUM(I225+O225-J225)</f>
        <v>79667.87000000001</v>
      </c>
      <c r="T225" s="443">
        <f>S225-3*U225</f>
        <v>79332.500000000015</v>
      </c>
      <c r="U225" s="445">
        <f t="shared" si="50"/>
        <v>111.79</v>
      </c>
      <c r="V225" s="443">
        <f t="shared" si="51"/>
        <v>126600.54</v>
      </c>
      <c r="W225" s="238">
        <f t="shared" si="6"/>
        <v>126265.17</v>
      </c>
      <c r="X225" s="231">
        <f t="shared" si="45"/>
        <v>79556.080000000016</v>
      </c>
      <c r="Y225" s="231">
        <f t="shared" si="46"/>
        <v>111.79</v>
      </c>
      <c r="Z225" s="232">
        <f t="shared" si="47"/>
        <v>126376.95999999999</v>
      </c>
      <c r="AA225" s="22">
        <f t="shared" si="44"/>
        <v>0</v>
      </c>
      <c r="AB225" s="424">
        <f t="shared" si="48"/>
        <v>-6.4090954765561037E-12</v>
      </c>
      <c r="AC225" s="424">
        <f t="shared" si="49"/>
        <v>0</v>
      </c>
    </row>
    <row r="226" spans="1:35" s="149" customFormat="1" ht="14.25" customHeight="1" x14ac:dyDescent="0.25">
      <c r="A226" s="163"/>
      <c r="B226" s="167"/>
      <c r="C226" s="146"/>
      <c r="D226" s="335" t="s">
        <v>518</v>
      </c>
      <c r="E226" s="169"/>
      <c r="F226" s="139"/>
      <c r="G226" s="249"/>
      <c r="H226" s="148"/>
      <c r="I226" s="148"/>
      <c r="J226" s="148"/>
      <c r="R226" s="211"/>
      <c r="S226" s="211"/>
      <c r="T226" s="443"/>
      <c r="U226" s="445"/>
      <c r="V226" s="443"/>
      <c r="W226" s="212"/>
      <c r="X226" s="231">
        <f t="shared" si="45"/>
        <v>0</v>
      </c>
      <c r="Y226" s="231">
        <f t="shared" si="46"/>
        <v>0</v>
      </c>
      <c r="Z226" s="232">
        <f t="shared" si="47"/>
        <v>0</v>
      </c>
      <c r="AA226" s="22">
        <f t="shared" si="44"/>
        <v>0</v>
      </c>
      <c r="AB226" s="424">
        <f t="shared" si="48"/>
        <v>0</v>
      </c>
      <c r="AC226" s="424">
        <f t="shared" si="49"/>
        <v>0</v>
      </c>
    </row>
    <row r="227" spans="1:35" s="149" customFormat="1" ht="14.25" customHeight="1" x14ac:dyDescent="0.25">
      <c r="A227" s="163"/>
      <c r="B227" s="167"/>
      <c r="C227" s="146"/>
      <c r="D227" s="161" t="s">
        <v>511</v>
      </c>
      <c r="E227" s="169"/>
      <c r="F227" s="139">
        <v>45.28</v>
      </c>
      <c r="G227" s="249"/>
      <c r="H227" s="148"/>
      <c r="I227" s="148"/>
      <c r="J227" s="148"/>
      <c r="R227" s="211">
        <f>205933.04/120.74*F227</f>
        <v>77229.153977140973</v>
      </c>
      <c r="S227" s="211">
        <f>79667.87/120.74*F227</f>
        <v>29877.100824913035</v>
      </c>
      <c r="T227" s="443">
        <f t="shared" si="52"/>
        <v>29877.100824913035</v>
      </c>
      <c r="U227" s="445">
        <f t="shared" si="50"/>
        <v>0</v>
      </c>
      <c r="V227" s="443">
        <f t="shared" si="51"/>
        <v>47352.053152227934</v>
      </c>
      <c r="W227" s="212">
        <f>SUM(R227-S227)</f>
        <v>47352.053152227934</v>
      </c>
      <c r="X227" s="231">
        <f t="shared" si="45"/>
        <v>29877.100824913035</v>
      </c>
      <c r="Y227" s="231">
        <f t="shared" si="46"/>
        <v>0</v>
      </c>
      <c r="Z227" s="232">
        <f t="shared" si="47"/>
        <v>47352.053152227934</v>
      </c>
      <c r="AA227" s="22">
        <f t="shared" si="44"/>
        <v>0</v>
      </c>
      <c r="AB227" s="424">
        <f t="shared" si="48"/>
        <v>0</v>
      </c>
      <c r="AC227" s="424">
        <f t="shared" si="49"/>
        <v>0</v>
      </c>
    </row>
    <row r="228" spans="1:35" s="149" customFormat="1" ht="14.25" customHeight="1" x14ac:dyDescent="0.25">
      <c r="A228" s="163"/>
      <c r="B228" s="167"/>
      <c r="C228" s="146"/>
      <c r="D228" s="161" t="s">
        <v>510</v>
      </c>
      <c r="E228" s="169"/>
      <c r="F228" s="139">
        <v>31.08</v>
      </c>
      <c r="G228" s="249"/>
      <c r="H228" s="148"/>
      <c r="I228" s="148"/>
      <c r="J228" s="148"/>
      <c r="R228" s="211">
        <f t="shared" ref="R228:R229" si="57">205933.04/120.74*F228</f>
        <v>53009.763816465136</v>
      </c>
      <c r="S228" s="211">
        <f t="shared" ref="S228:S229" si="58">79667.87/120.74*F228</f>
        <v>20507.515318866983</v>
      </c>
      <c r="T228" s="443">
        <f t="shared" si="52"/>
        <v>20507.515318866983</v>
      </c>
      <c r="U228" s="445">
        <f t="shared" si="50"/>
        <v>0</v>
      </c>
      <c r="V228" s="443">
        <f t="shared" si="51"/>
        <v>32502.248497598153</v>
      </c>
      <c r="W228" s="212">
        <f t="shared" ref="W228:W229" si="59">SUM(R228-S228)</f>
        <v>32502.248497598153</v>
      </c>
      <c r="X228" s="231">
        <f t="shared" si="45"/>
        <v>20507.515318866983</v>
      </c>
      <c r="Y228" s="231">
        <f t="shared" si="46"/>
        <v>0</v>
      </c>
      <c r="Z228" s="232">
        <f t="shared" si="47"/>
        <v>32502.248497598153</v>
      </c>
      <c r="AA228" s="22">
        <f t="shared" si="44"/>
        <v>0</v>
      </c>
      <c r="AB228" s="424">
        <f t="shared" si="48"/>
        <v>0</v>
      </c>
      <c r="AC228" s="424">
        <f t="shared" si="49"/>
        <v>0</v>
      </c>
    </row>
    <row r="229" spans="1:35" s="149" customFormat="1" ht="14.25" customHeight="1" x14ac:dyDescent="0.25">
      <c r="A229" s="163"/>
      <c r="B229" s="167"/>
      <c r="C229" s="146"/>
      <c r="D229" s="161" t="s">
        <v>535</v>
      </c>
      <c r="E229" s="169"/>
      <c r="F229" s="139">
        <v>44.38</v>
      </c>
      <c r="G229" s="249"/>
      <c r="H229" s="148"/>
      <c r="I229" s="148"/>
      <c r="J229" s="148"/>
      <c r="R229" s="211">
        <f t="shared" si="57"/>
        <v>75694.12220639392</v>
      </c>
      <c r="S229" s="211">
        <f t="shared" si="58"/>
        <v>29283.253856219977</v>
      </c>
      <c r="T229" s="443">
        <f t="shared" si="52"/>
        <v>29283.253856219977</v>
      </c>
      <c r="U229" s="445">
        <f t="shared" si="50"/>
        <v>0</v>
      </c>
      <c r="V229" s="443">
        <f t="shared" si="51"/>
        <v>46410.868350173943</v>
      </c>
      <c r="W229" s="212">
        <f t="shared" si="59"/>
        <v>46410.868350173943</v>
      </c>
      <c r="X229" s="231">
        <f t="shared" si="45"/>
        <v>29283.253856219977</v>
      </c>
      <c r="Y229" s="231">
        <f t="shared" si="46"/>
        <v>0</v>
      </c>
      <c r="Z229" s="232">
        <f t="shared" si="47"/>
        <v>46410.868350173943</v>
      </c>
      <c r="AA229" s="22">
        <f t="shared" si="44"/>
        <v>0</v>
      </c>
      <c r="AB229" s="424">
        <f t="shared" si="48"/>
        <v>0</v>
      </c>
      <c r="AC229" s="424">
        <f t="shared" si="49"/>
        <v>0</v>
      </c>
      <c r="AE229" s="148"/>
      <c r="AF229" s="148"/>
    </row>
    <row r="230" spans="1:35" s="149" customFormat="1" ht="14.25" customHeight="1" x14ac:dyDescent="0.25">
      <c r="A230" s="152"/>
      <c r="B230" s="143"/>
      <c r="C230" s="154"/>
      <c r="D230" s="162"/>
      <c r="E230" s="170"/>
      <c r="F230" s="158"/>
      <c r="G230" s="142"/>
      <c r="H230" s="157"/>
      <c r="I230" s="157"/>
      <c r="J230" s="157"/>
      <c r="K230" s="171"/>
      <c r="L230" s="171"/>
      <c r="M230" s="171"/>
      <c r="N230" s="171"/>
      <c r="O230" s="171"/>
      <c r="P230" s="171"/>
      <c r="Q230" s="171"/>
      <c r="R230" s="213"/>
      <c r="S230" s="213"/>
      <c r="T230" s="443"/>
      <c r="U230" s="445"/>
      <c r="V230" s="443"/>
      <c r="W230" s="214"/>
      <c r="X230" s="231">
        <f t="shared" si="45"/>
        <v>0</v>
      </c>
      <c r="Y230" s="231">
        <f t="shared" si="46"/>
        <v>0</v>
      </c>
      <c r="Z230" s="232">
        <f t="shared" si="47"/>
        <v>0</v>
      </c>
      <c r="AA230" s="22">
        <f t="shared" si="44"/>
        <v>0</v>
      </c>
      <c r="AB230" s="424">
        <f t="shared" si="48"/>
        <v>0</v>
      </c>
      <c r="AC230" s="424">
        <f t="shared" si="49"/>
        <v>0</v>
      </c>
    </row>
    <row r="231" spans="1:35" s="538" customFormat="1" ht="14.25" customHeight="1" x14ac:dyDescent="0.25">
      <c r="A231" s="528">
        <f>SUM(A225+1)</f>
        <v>62</v>
      </c>
      <c r="B231" s="529" t="s">
        <v>123</v>
      </c>
      <c r="C231" s="530">
        <v>270</v>
      </c>
      <c r="D231" s="529" t="s">
        <v>110</v>
      </c>
      <c r="E231" s="531">
        <v>42</v>
      </c>
      <c r="F231" s="532">
        <f>SUM(F232:F237)</f>
        <v>1154.92</v>
      </c>
      <c r="G231" s="533">
        <v>1986</v>
      </c>
      <c r="H231" s="534">
        <f>SUM(Лист1!G71)</f>
        <v>2548385.7000000002</v>
      </c>
      <c r="I231" s="534">
        <f>SUM(Лист1!H71)</f>
        <v>1122453.03</v>
      </c>
      <c r="J231" s="534">
        <f>SUM(Лист1!I71)</f>
        <v>1388.68</v>
      </c>
      <c r="K231" s="535"/>
      <c r="L231" s="535"/>
      <c r="M231" s="535"/>
      <c r="N231" s="536">
        <v>13181.57</v>
      </c>
      <c r="O231" s="536">
        <v>12412.45</v>
      </c>
      <c r="P231" s="537">
        <v>14.64</v>
      </c>
      <c r="Q231" s="535"/>
      <c r="R231" s="524">
        <f>SUM(R233:R237)</f>
        <v>6659354.04</v>
      </c>
      <c r="S231" s="524">
        <f t="shared" ref="S231:T231" si="60">SUM(S233:S237)</f>
        <v>797208.66012271948</v>
      </c>
      <c r="T231" s="524">
        <f t="shared" si="60"/>
        <v>1989893.77</v>
      </c>
      <c r="U231" s="522">
        <f>J231+P231</f>
        <v>1403.3200000000002</v>
      </c>
      <c r="V231" s="521">
        <f>R231-T231</f>
        <v>4669460.2699999996</v>
      </c>
      <c r="W231" s="524">
        <f t="shared" si="6"/>
        <v>5862145.3798772804</v>
      </c>
      <c r="X231" s="524">
        <f t="shared" si="45"/>
        <v>795805.34012271953</v>
      </c>
      <c r="Y231" s="524">
        <f t="shared" si="46"/>
        <v>1403.3200000000002</v>
      </c>
      <c r="Z231" s="525">
        <f t="shared" si="47"/>
        <v>5863548.6998772807</v>
      </c>
      <c r="AA231" s="526">
        <f t="shared" si="44"/>
        <v>0</v>
      </c>
      <c r="AB231" s="527">
        <f t="shared" si="48"/>
        <v>-5.1386450650170445E-11</v>
      </c>
      <c r="AC231" s="527">
        <f t="shared" si="49"/>
        <v>0</v>
      </c>
    </row>
    <row r="232" spans="1:35" s="149" customFormat="1" ht="14.25" customHeight="1" x14ac:dyDescent="0.25">
      <c r="A232" s="163"/>
      <c r="B232" s="167"/>
      <c r="C232" s="146"/>
      <c r="D232" s="335" t="s">
        <v>518</v>
      </c>
      <c r="E232" s="147"/>
      <c r="F232" s="205"/>
      <c r="G232" s="144"/>
      <c r="H232" s="148"/>
      <c r="I232" s="148"/>
      <c r="J232" s="148"/>
      <c r="N232" s="139"/>
      <c r="O232" s="139"/>
      <c r="P232" s="140"/>
      <c r="R232" s="211"/>
      <c r="S232" s="211"/>
      <c r="T232" s="443"/>
      <c r="U232" s="445">
        <f t="shared" si="50"/>
        <v>0</v>
      </c>
      <c r="V232" s="443"/>
      <c r="W232" s="211"/>
      <c r="X232" s="231">
        <f t="shared" si="45"/>
        <v>0</v>
      </c>
      <c r="Y232" s="231">
        <f t="shared" si="46"/>
        <v>0</v>
      </c>
      <c r="Z232" s="232">
        <f t="shared" si="47"/>
        <v>0</v>
      </c>
      <c r="AA232" s="22">
        <f t="shared" si="44"/>
        <v>0</v>
      </c>
      <c r="AB232" s="424">
        <f t="shared" si="48"/>
        <v>0</v>
      </c>
      <c r="AC232" s="424">
        <f t="shared" si="49"/>
        <v>0</v>
      </c>
      <c r="AG232" s="581"/>
      <c r="AH232" s="581"/>
    </row>
    <row r="233" spans="1:35" s="149" customFormat="1" ht="14.25" customHeight="1" x14ac:dyDescent="0.25">
      <c r="A233" s="163"/>
      <c r="B233" s="167"/>
      <c r="C233" s="146"/>
      <c r="D233" s="336" t="s">
        <v>536</v>
      </c>
      <c r="E233" s="147"/>
      <c r="F233" s="205">
        <v>63.42</v>
      </c>
      <c r="G233" s="144"/>
      <c r="H233" s="148"/>
      <c r="I233" s="148"/>
      <c r="J233" s="148"/>
      <c r="N233" s="139"/>
      <c r="O233" s="139"/>
      <c r="P233" s="140"/>
      <c r="R233" s="211">
        <v>140663.07</v>
      </c>
      <c r="S233" s="211">
        <f>1133476.8/1227.19*F233</f>
        <v>58576.991872489183</v>
      </c>
      <c r="T233" s="443">
        <v>62011.31</v>
      </c>
      <c r="U233" s="445">
        <f t="shared" si="50"/>
        <v>0</v>
      </c>
      <c r="V233" s="443">
        <f>R233-T233</f>
        <v>78651.760000000009</v>
      </c>
      <c r="W233" s="211">
        <f>SUM(R233-S233)</f>
        <v>82086.078127510817</v>
      </c>
      <c r="X233" s="231">
        <f t="shared" si="45"/>
        <v>58576.991872489183</v>
      </c>
      <c r="Y233" s="231">
        <f t="shared" si="46"/>
        <v>0</v>
      </c>
      <c r="Z233" s="232">
        <f t="shared" si="47"/>
        <v>82086.078127510817</v>
      </c>
      <c r="AA233" s="22">
        <f t="shared" si="44"/>
        <v>0</v>
      </c>
      <c r="AB233" s="424">
        <f t="shared" si="48"/>
        <v>0</v>
      </c>
      <c r="AC233" s="424">
        <f t="shared" si="49"/>
        <v>0</v>
      </c>
      <c r="AG233" s="581"/>
      <c r="AH233" s="581"/>
    </row>
    <row r="234" spans="1:35" s="519" customFormat="1" ht="14.25" customHeight="1" x14ac:dyDescent="0.25">
      <c r="A234" s="514"/>
      <c r="B234" s="515"/>
      <c r="C234" s="516"/>
      <c r="D234" s="573" t="s">
        <v>490</v>
      </c>
      <c r="E234" s="574" t="s">
        <v>624</v>
      </c>
      <c r="F234" s="517">
        <v>165.3</v>
      </c>
      <c r="G234" s="575"/>
      <c r="H234" s="518"/>
      <c r="I234" s="518"/>
      <c r="J234" s="518"/>
      <c r="N234" s="576"/>
      <c r="O234" s="576"/>
      <c r="P234" s="577"/>
      <c r="R234" s="520">
        <v>2390420.56</v>
      </c>
      <c r="S234" s="520"/>
      <c r="T234" s="521">
        <v>105526.22</v>
      </c>
      <c r="U234" s="522"/>
      <c r="V234" s="521">
        <v>1335194.3400000001</v>
      </c>
      <c r="W234" s="520"/>
      <c r="X234" s="524"/>
      <c r="Y234" s="524"/>
      <c r="Z234" s="525"/>
      <c r="AA234" s="526"/>
      <c r="AB234" s="527"/>
      <c r="AC234" s="527"/>
      <c r="AE234" s="518"/>
      <c r="AG234" s="518"/>
      <c r="AH234" s="518"/>
      <c r="AI234" s="518"/>
    </row>
    <row r="235" spans="1:35" s="519" customFormat="1" ht="14.25" customHeight="1" x14ac:dyDescent="0.25">
      <c r="A235" s="514"/>
      <c r="B235" s="515"/>
      <c r="C235" s="516"/>
      <c r="D235" s="573" t="s">
        <v>490</v>
      </c>
      <c r="E235" s="574" t="s">
        <v>625</v>
      </c>
      <c r="F235" s="517">
        <v>126.5</v>
      </c>
      <c r="G235" s="575"/>
      <c r="H235" s="518"/>
      <c r="I235" s="518"/>
      <c r="J235" s="518"/>
      <c r="N235" s="576"/>
      <c r="O235" s="576"/>
      <c r="P235" s="577"/>
      <c r="R235" s="520">
        <v>1770409.57</v>
      </c>
      <c r="S235" s="520"/>
      <c r="T235" s="521">
        <f>SUM(R235-V235)</f>
        <v>781758.85000000009</v>
      </c>
      <c r="U235" s="522"/>
      <c r="V235" s="521">
        <v>988650.72</v>
      </c>
      <c r="W235" s="520">
        <f t="shared" ref="W235:W237" si="61">SUM(R235-S235)</f>
        <v>1770409.57</v>
      </c>
      <c r="X235" s="524">
        <f t="shared" si="45"/>
        <v>0</v>
      </c>
      <c r="Y235" s="524">
        <f t="shared" si="46"/>
        <v>0</v>
      </c>
      <c r="Z235" s="525">
        <f t="shared" si="47"/>
        <v>1770409.57</v>
      </c>
      <c r="AA235" s="526">
        <f t="shared" si="44"/>
        <v>0</v>
      </c>
      <c r="AB235" s="527">
        <f t="shared" si="48"/>
        <v>0</v>
      </c>
      <c r="AC235" s="527">
        <f t="shared" si="49"/>
        <v>0</v>
      </c>
    </row>
    <row r="236" spans="1:35" s="519" customFormat="1" ht="14.25" customHeight="1" x14ac:dyDescent="0.25">
      <c r="A236" s="514"/>
      <c r="B236" s="515"/>
      <c r="C236" s="516"/>
      <c r="D236" s="573" t="s">
        <v>490</v>
      </c>
      <c r="E236" s="574" t="s">
        <v>625</v>
      </c>
      <c r="F236" s="517">
        <v>49.6</v>
      </c>
      <c r="G236" s="575"/>
      <c r="H236" s="518"/>
      <c r="I236" s="518"/>
      <c r="J236" s="518"/>
      <c r="N236" s="576"/>
      <c r="O236" s="576"/>
      <c r="P236" s="577"/>
      <c r="R236" s="520">
        <v>694168.46</v>
      </c>
      <c r="S236" s="520">
        <f t="shared" ref="S236:S237" si="62">1133476.8/1227.19*F236</f>
        <v>45812.343060161838</v>
      </c>
      <c r="T236" s="521">
        <v>307158.65999999997</v>
      </c>
      <c r="U236" s="522">
        <f t="shared" si="50"/>
        <v>0</v>
      </c>
      <c r="V236" s="521">
        <v>387651.16</v>
      </c>
      <c r="W236" s="520">
        <f t="shared" si="61"/>
        <v>648356.11693983816</v>
      </c>
      <c r="X236" s="524">
        <f t="shared" si="45"/>
        <v>45812.343060161838</v>
      </c>
      <c r="Y236" s="524">
        <f t="shared" si="46"/>
        <v>0</v>
      </c>
      <c r="Z236" s="525">
        <f t="shared" si="47"/>
        <v>648356.11693983816</v>
      </c>
      <c r="AA236" s="526">
        <f t="shared" si="44"/>
        <v>0</v>
      </c>
      <c r="AB236" s="527">
        <f t="shared" si="48"/>
        <v>0</v>
      </c>
      <c r="AC236" s="527">
        <f t="shared" si="49"/>
        <v>0</v>
      </c>
    </row>
    <row r="237" spans="1:35" s="185" customFormat="1" ht="14.25" customHeight="1" x14ac:dyDescent="0.25">
      <c r="A237" s="188"/>
      <c r="B237" s="189"/>
      <c r="C237" s="183"/>
      <c r="D237" s="291" t="s">
        <v>470</v>
      </c>
      <c r="E237" s="263"/>
      <c r="F237" s="292">
        <v>750.1</v>
      </c>
      <c r="G237" s="182"/>
      <c r="H237" s="184"/>
      <c r="I237" s="184"/>
      <c r="J237" s="184"/>
      <c r="N237" s="264"/>
      <c r="O237" s="264"/>
      <c r="P237" s="198"/>
      <c r="R237" s="211">
        <v>1663692.38</v>
      </c>
      <c r="S237" s="211">
        <f t="shared" si="62"/>
        <v>692819.32519006846</v>
      </c>
      <c r="T237" s="443">
        <v>733438.73</v>
      </c>
      <c r="U237" s="445">
        <f t="shared" si="50"/>
        <v>0</v>
      </c>
      <c r="V237" s="443">
        <f t="shared" si="51"/>
        <v>930253.64999999991</v>
      </c>
      <c r="W237" s="211">
        <f t="shared" si="61"/>
        <v>970873.05480993143</v>
      </c>
      <c r="X237" s="231">
        <f t="shared" si="45"/>
        <v>692819.32519006846</v>
      </c>
      <c r="Y237" s="231">
        <f t="shared" si="46"/>
        <v>0</v>
      </c>
      <c r="Z237" s="232">
        <f t="shared" si="47"/>
        <v>970873.05480993143</v>
      </c>
      <c r="AA237" s="22">
        <f t="shared" si="44"/>
        <v>0</v>
      </c>
      <c r="AB237" s="424">
        <f t="shared" si="48"/>
        <v>0</v>
      </c>
      <c r="AC237" s="424">
        <f t="shared" si="49"/>
        <v>0</v>
      </c>
      <c r="AH237" s="519"/>
    </row>
    <row r="238" spans="1:35" s="149" customFormat="1" ht="14.25" customHeight="1" x14ac:dyDescent="0.25">
      <c r="A238" s="152"/>
      <c r="B238" s="143"/>
      <c r="C238" s="154"/>
      <c r="D238" s="143"/>
      <c r="E238" s="155"/>
      <c r="F238" s="206"/>
      <c r="G238" s="156"/>
      <c r="H238" s="157"/>
      <c r="I238" s="157"/>
      <c r="J238" s="157"/>
      <c r="K238" s="171"/>
      <c r="L238" s="171"/>
      <c r="M238" s="171"/>
      <c r="N238" s="158"/>
      <c r="O238" s="158"/>
      <c r="P238" s="159"/>
      <c r="Q238" s="171"/>
      <c r="R238" s="213"/>
      <c r="S238" s="213"/>
      <c r="T238" s="443"/>
      <c r="U238" s="445">
        <f t="shared" si="50"/>
        <v>0</v>
      </c>
      <c r="V238" s="443"/>
      <c r="W238" s="213"/>
      <c r="X238" s="231">
        <f t="shared" si="45"/>
        <v>0</v>
      </c>
      <c r="Y238" s="231">
        <f t="shared" si="46"/>
        <v>0</v>
      </c>
      <c r="Z238" s="232">
        <f t="shared" si="47"/>
        <v>0</v>
      </c>
      <c r="AA238" s="22">
        <f t="shared" si="44"/>
        <v>0</v>
      </c>
      <c r="AB238" s="424">
        <f t="shared" si="48"/>
        <v>0</v>
      </c>
      <c r="AC238" s="424">
        <f t="shared" si="49"/>
        <v>0</v>
      </c>
      <c r="AE238" s="148"/>
    </row>
    <row r="239" spans="1:35" s="257" customFormat="1" ht="14.25" customHeight="1" x14ac:dyDescent="0.25">
      <c r="A239" s="224">
        <f t="shared" ref="A239" si="63">SUM(A231+1)</f>
        <v>63</v>
      </c>
      <c r="B239" s="225" t="s">
        <v>124</v>
      </c>
      <c r="C239" s="226">
        <v>271</v>
      </c>
      <c r="D239" s="225" t="s">
        <v>77</v>
      </c>
      <c r="E239" s="454">
        <v>270</v>
      </c>
      <c r="F239" s="229">
        <v>1893</v>
      </c>
      <c r="G239" s="248">
        <v>1983</v>
      </c>
      <c r="H239" s="237">
        <f>SUM(Лист1!G72)</f>
        <v>67196.78</v>
      </c>
      <c r="I239" s="237">
        <f>SUM(Лист1!H72)</f>
        <v>23575.040000000001</v>
      </c>
      <c r="J239" s="237">
        <f>SUM(Лист1!I72)</f>
        <v>39.450000000000003</v>
      </c>
      <c r="K239" s="261"/>
      <c r="L239" s="261"/>
      <c r="M239" s="261"/>
      <c r="N239" s="252">
        <v>1381.33</v>
      </c>
      <c r="O239" s="252">
        <v>1008.46</v>
      </c>
      <c r="P239" s="259">
        <v>1.59</v>
      </c>
      <c r="Q239" s="261"/>
      <c r="R239" s="231">
        <f t="shared" si="10"/>
        <v>68578.11</v>
      </c>
      <c r="S239" s="231">
        <f>SUM(I239+O239-J239)</f>
        <v>24544.05</v>
      </c>
      <c r="T239" s="443">
        <f>S239-3*U239</f>
        <v>24420.93</v>
      </c>
      <c r="U239" s="445">
        <f t="shared" si="50"/>
        <v>41.040000000000006</v>
      </c>
      <c r="V239" s="443">
        <f t="shared" si="51"/>
        <v>44157.18</v>
      </c>
      <c r="W239" s="238">
        <f t="shared" ref="W239:W494" si="64">SUM(R239-S239)</f>
        <v>44034.06</v>
      </c>
      <c r="X239" s="231">
        <f t="shared" si="45"/>
        <v>24503.01</v>
      </c>
      <c r="Y239" s="231">
        <f t="shared" si="46"/>
        <v>41.040000000000006</v>
      </c>
      <c r="Z239" s="232">
        <f t="shared" si="47"/>
        <v>44075.1</v>
      </c>
      <c r="AA239" s="22">
        <f t="shared" si="44"/>
        <v>0</v>
      </c>
      <c r="AB239" s="424">
        <f t="shared" si="48"/>
        <v>8.6686213762732223E-13</v>
      </c>
      <c r="AC239" s="424">
        <f t="shared" si="49"/>
        <v>7.2759576141834259E-12</v>
      </c>
      <c r="AG239" s="256"/>
      <c r="AH239" s="256"/>
    </row>
    <row r="240" spans="1:35" s="149" customFormat="1" ht="14.25" customHeight="1" x14ac:dyDescent="0.25">
      <c r="A240" s="163"/>
      <c r="B240" s="167"/>
      <c r="C240" s="146"/>
      <c r="D240" s="291" t="s">
        <v>470</v>
      </c>
      <c r="E240" s="169"/>
      <c r="F240" s="139">
        <v>1893</v>
      </c>
      <c r="G240" s="249"/>
      <c r="H240" s="148"/>
      <c r="I240" s="148"/>
      <c r="J240" s="148"/>
      <c r="N240" s="139"/>
      <c r="O240" s="139"/>
      <c r="P240" s="140"/>
      <c r="R240" s="211"/>
      <c r="S240" s="211"/>
      <c r="T240" s="443"/>
      <c r="U240" s="445"/>
      <c r="V240" s="443"/>
      <c r="W240" s="212"/>
      <c r="X240" s="231">
        <f t="shared" si="45"/>
        <v>0</v>
      </c>
      <c r="Y240" s="231">
        <f t="shared" si="46"/>
        <v>0</v>
      </c>
      <c r="Z240" s="232">
        <f t="shared" si="47"/>
        <v>0</v>
      </c>
      <c r="AA240" s="22">
        <f t="shared" si="44"/>
        <v>0</v>
      </c>
      <c r="AB240" s="424">
        <f t="shared" si="48"/>
        <v>0</v>
      </c>
      <c r="AC240" s="424">
        <f t="shared" si="49"/>
        <v>0</v>
      </c>
    </row>
    <row r="241" spans="1:29" s="149" customFormat="1" ht="14.25" customHeight="1" x14ac:dyDescent="0.25">
      <c r="A241" s="163"/>
      <c r="B241" s="167"/>
      <c r="C241" s="146"/>
      <c r="D241" s="167"/>
      <c r="E241" s="169"/>
      <c r="F241" s="139"/>
      <c r="G241" s="249"/>
      <c r="H241" s="148"/>
      <c r="I241" s="148"/>
      <c r="J241" s="148"/>
      <c r="N241" s="139"/>
      <c r="O241" s="139"/>
      <c r="P241" s="140"/>
      <c r="R241" s="211"/>
      <c r="S241" s="211"/>
      <c r="T241" s="443"/>
      <c r="U241" s="445"/>
      <c r="V241" s="443"/>
      <c r="W241" s="212"/>
      <c r="X241" s="231">
        <f t="shared" si="45"/>
        <v>0</v>
      </c>
      <c r="Y241" s="231">
        <f t="shared" si="46"/>
        <v>0</v>
      </c>
      <c r="Z241" s="232">
        <f t="shared" si="47"/>
        <v>0</v>
      </c>
      <c r="AA241" s="22">
        <f t="shared" si="44"/>
        <v>0</v>
      </c>
      <c r="AB241" s="424">
        <f t="shared" si="48"/>
        <v>0</v>
      </c>
      <c r="AC241" s="424">
        <f t="shared" si="49"/>
        <v>0</v>
      </c>
    </row>
    <row r="242" spans="1:29" s="257" customFormat="1" ht="14.25" customHeight="1" x14ac:dyDescent="0.25">
      <c r="A242" s="224">
        <f>SUM(A239+1)</f>
        <v>64</v>
      </c>
      <c r="B242" s="225" t="s">
        <v>125</v>
      </c>
      <c r="C242" s="226">
        <v>273</v>
      </c>
      <c r="D242" s="225" t="s">
        <v>120</v>
      </c>
      <c r="E242" s="454">
        <v>3</v>
      </c>
      <c r="F242" s="252">
        <v>71.459999999999994</v>
      </c>
      <c r="G242" s="248">
        <v>1976</v>
      </c>
      <c r="H242" s="237">
        <f>SUM(Лист1!G73)</f>
        <v>111462.15</v>
      </c>
      <c r="I242" s="237">
        <f>SUM(Лист1!H73)</f>
        <v>42077.57</v>
      </c>
      <c r="J242" s="237">
        <f>SUM(Лист1!I73)</f>
        <v>65.05</v>
      </c>
      <c r="K242" s="261"/>
      <c r="L242" s="261"/>
      <c r="M242" s="261"/>
      <c r="N242" s="259">
        <v>610.94000000000005</v>
      </c>
      <c r="O242" s="259">
        <v>536.46</v>
      </c>
      <c r="P242" s="259">
        <v>0.78</v>
      </c>
      <c r="Q242" s="261"/>
      <c r="R242" s="231">
        <f t="shared" si="10"/>
        <v>112073.09</v>
      </c>
      <c r="S242" s="231">
        <f>SUM(I242+O242-J242)</f>
        <v>42548.979999999996</v>
      </c>
      <c r="T242" s="443">
        <f>S242-3*U242</f>
        <v>42351.49</v>
      </c>
      <c r="U242" s="445">
        <f t="shared" si="50"/>
        <v>65.83</v>
      </c>
      <c r="V242" s="443">
        <f t="shared" si="51"/>
        <v>69721.600000000006</v>
      </c>
      <c r="W242" s="238">
        <f t="shared" si="64"/>
        <v>69524.11</v>
      </c>
      <c r="X242" s="231">
        <f t="shared" si="45"/>
        <v>42483.149999999994</v>
      </c>
      <c r="Y242" s="231">
        <f t="shared" si="46"/>
        <v>65.83</v>
      </c>
      <c r="Z242" s="232">
        <f t="shared" si="47"/>
        <v>69589.94</v>
      </c>
      <c r="AA242" s="22">
        <f t="shared" si="44"/>
        <v>0</v>
      </c>
      <c r="AB242" s="424">
        <f t="shared" si="48"/>
        <v>1.7479351299698465E-12</v>
      </c>
      <c r="AC242" s="424">
        <f t="shared" si="49"/>
        <v>0</v>
      </c>
    </row>
    <row r="243" spans="1:29" s="149" customFormat="1" ht="14.25" customHeight="1" x14ac:dyDescent="0.25">
      <c r="A243" s="163"/>
      <c r="B243" s="167"/>
      <c r="C243" s="146"/>
      <c r="D243" s="335" t="s">
        <v>518</v>
      </c>
      <c r="E243" s="169"/>
      <c r="F243" s="139"/>
      <c r="G243" s="249"/>
      <c r="H243" s="148"/>
      <c r="I243" s="148"/>
      <c r="J243" s="148"/>
      <c r="N243" s="140"/>
      <c r="O243" s="140"/>
      <c r="P243" s="140"/>
      <c r="R243" s="211"/>
      <c r="S243" s="211"/>
      <c r="T243" s="443"/>
      <c r="U243" s="445"/>
      <c r="V243" s="443"/>
      <c r="W243" s="212"/>
      <c r="X243" s="231">
        <f t="shared" si="45"/>
        <v>0</v>
      </c>
      <c r="Y243" s="231">
        <f t="shared" si="46"/>
        <v>0</v>
      </c>
      <c r="Z243" s="232">
        <f t="shared" si="47"/>
        <v>0</v>
      </c>
      <c r="AA243" s="22">
        <f t="shared" si="44"/>
        <v>0</v>
      </c>
      <c r="AB243" s="424">
        <f t="shared" si="48"/>
        <v>0</v>
      </c>
      <c r="AC243" s="424">
        <f t="shared" si="49"/>
        <v>0</v>
      </c>
    </row>
    <row r="244" spans="1:29" s="149" customFormat="1" ht="14.25" customHeight="1" x14ac:dyDescent="0.25">
      <c r="A244" s="163"/>
      <c r="B244" s="167"/>
      <c r="C244" s="146"/>
      <c r="D244" s="336" t="s">
        <v>512</v>
      </c>
      <c r="E244" s="169"/>
      <c r="F244" s="139">
        <v>30.46</v>
      </c>
      <c r="G244" s="249"/>
      <c r="H244" s="148"/>
      <c r="I244" s="148"/>
      <c r="J244" s="148"/>
      <c r="N244" s="140"/>
      <c r="O244" s="140"/>
      <c r="P244" s="140"/>
      <c r="R244" s="211">
        <f>$R$242/$F$242*F244</f>
        <v>47771.429070808852</v>
      </c>
      <c r="S244" s="211">
        <f>42548.98/71.46*F244</f>
        <v>18136.606924153373</v>
      </c>
      <c r="T244" s="443">
        <f>$T$242/$F$242*F244</f>
        <v>18052.426328015677</v>
      </c>
      <c r="U244" s="445"/>
      <c r="V244" s="443">
        <f t="shared" si="51"/>
        <v>29719.002742793175</v>
      </c>
      <c r="W244" s="212">
        <f>SUM(R244-S244)</f>
        <v>29634.822146655479</v>
      </c>
      <c r="X244" s="231">
        <f t="shared" si="45"/>
        <v>18136.606924153373</v>
      </c>
      <c r="Y244" s="231">
        <f t="shared" si="46"/>
        <v>0</v>
      </c>
      <c r="Z244" s="232">
        <f t="shared" si="47"/>
        <v>29634.822146655479</v>
      </c>
      <c r="AA244" s="22">
        <f t="shared" si="44"/>
        <v>0</v>
      </c>
      <c r="AB244" s="424">
        <f t="shared" si="48"/>
        <v>0</v>
      </c>
      <c r="AC244" s="424">
        <f t="shared" si="49"/>
        <v>0</v>
      </c>
    </row>
    <row r="245" spans="1:29" s="149" customFormat="1" ht="14.25" customHeight="1" x14ac:dyDescent="0.25">
      <c r="A245" s="163"/>
      <c r="B245" s="167"/>
      <c r="C245" s="146"/>
      <c r="D245" s="250" t="s">
        <v>529</v>
      </c>
      <c r="E245" s="169"/>
      <c r="F245" s="139">
        <v>41</v>
      </c>
      <c r="G245" s="249"/>
      <c r="H245" s="148"/>
      <c r="I245" s="148"/>
      <c r="J245" s="148"/>
      <c r="N245" s="140"/>
      <c r="O245" s="140"/>
      <c r="P245" s="140"/>
      <c r="R245" s="211">
        <f>$R$242/$F$242*F245</f>
        <v>64301.660929191159</v>
      </c>
      <c r="S245" s="211">
        <f>42548.98/71.46*F245</f>
        <v>24412.37307584663</v>
      </c>
      <c r="T245" s="443">
        <f>$T$242/$F$242*F245</f>
        <v>24299.063671984331</v>
      </c>
      <c r="U245" s="445"/>
      <c r="V245" s="443">
        <f t="shared" si="51"/>
        <v>40002.597257206828</v>
      </c>
      <c r="W245" s="212">
        <f>SUM(R245-S245)</f>
        <v>39889.287853344533</v>
      </c>
      <c r="X245" s="231">
        <f t="shared" si="45"/>
        <v>24412.37307584663</v>
      </c>
      <c r="Y245" s="231">
        <f t="shared" si="46"/>
        <v>0</v>
      </c>
      <c r="Z245" s="232">
        <f t="shared" si="47"/>
        <v>39889.287853344533</v>
      </c>
      <c r="AA245" s="22">
        <f t="shared" si="44"/>
        <v>0</v>
      </c>
      <c r="AB245" s="424">
        <f t="shared" si="48"/>
        <v>0</v>
      </c>
      <c r="AC245" s="424">
        <f t="shared" si="49"/>
        <v>0</v>
      </c>
    </row>
    <row r="246" spans="1:29" s="149" customFormat="1" ht="14.25" customHeight="1" x14ac:dyDescent="0.25">
      <c r="A246" s="152"/>
      <c r="B246" s="143"/>
      <c r="C246" s="154"/>
      <c r="D246" s="477"/>
      <c r="E246" s="170"/>
      <c r="F246" s="158"/>
      <c r="G246" s="142"/>
      <c r="H246" s="157"/>
      <c r="I246" s="157"/>
      <c r="J246" s="157"/>
      <c r="K246" s="171"/>
      <c r="L246" s="171"/>
      <c r="M246" s="171"/>
      <c r="N246" s="159"/>
      <c r="O246" s="159"/>
      <c r="P246" s="159"/>
      <c r="Q246" s="171"/>
      <c r="R246" s="213"/>
      <c r="S246" s="213"/>
      <c r="T246" s="443"/>
      <c r="U246" s="445"/>
      <c r="V246" s="443"/>
      <c r="W246" s="214"/>
      <c r="X246" s="231">
        <f t="shared" si="45"/>
        <v>0</v>
      </c>
      <c r="Y246" s="231">
        <f t="shared" si="46"/>
        <v>0</v>
      </c>
      <c r="Z246" s="232">
        <f t="shared" si="47"/>
        <v>0</v>
      </c>
      <c r="AA246" s="22">
        <f t="shared" si="44"/>
        <v>0</v>
      </c>
      <c r="AB246" s="424">
        <f t="shared" si="48"/>
        <v>0</v>
      </c>
      <c r="AC246" s="424">
        <f t="shared" si="49"/>
        <v>0</v>
      </c>
    </row>
    <row r="247" spans="1:29" s="257" customFormat="1" ht="14.25" customHeight="1" x14ac:dyDescent="0.25">
      <c r="A247" s="313">
        <f>SUM(A242+1)</f>
        <v>65</v>
      </c>
      <c r="B247" s="225" t="s">
        <v>126</v>
      </c>
      <c r="C247" s="226">
        <v>280</v>
      </c>
      <c r="D247" s="225" t="s">
        <v>104</v>
      </c>
      <c r="E247" s="454">
        <v>20</v>
      </c>
      <c r="F247" s="252">
        <v>98.53</v>
      </c>
      <c r="G247" s="248">
        <v>1987</v>
      </c>
      <c r="H247" s="237">
        <f>SUM(Лист1!G74)</f>
        <v>248331.05</v>
      </c>
      <c r="I247" s="237">
        <f>SUM(Лист1!H74)</f>
        <v>101067.48</v>
      </c>
      <c r="J247" s="237">
        <f>SUM(Лист1!I74)</f>
        <v>133.43</v>
      </c>
      <c r="K247" s="261"/>
      <c r="L247" s="261"/>
      <c r="M247" s="261"/>
      <c r="N247" s="259">
        <v>338.62</v>
      </c>
      <c r="O247" s="259">
        <v>305.45</v>
      </c>
      <c r="P247" s="259">
        <v>0.37</v>
      </c>
      <c r="Q247" s="261"/>
      <c r="R247" s="231">
        <f t="shared" si="10"/>
        <v>248669.66999999998</v>
      </c>
      <c r="S247" s="231">
        <f>SUM(I247+O247-J247)</f>
        <v>101239.5</v>
      </c>
      <c r="T247" s="443">
        <f>S247-3*U247</f>
        <v>100838.1</v>
      </c>
      <c r="U247" s="445">
        <f t="shared" si="50"/>
        <v>133.80000000000001</v>
      </c>
      <c r="V247" s="443">
        <f t="shared" si="51"/>
        <v>147831.56999999998</v>
      </c>
      <c r="W247" s="238">
        <f t="shared" si="64"/>
        <v>147430.16999999998</v>
      </c>
      <c r="X247" s="231">
        <f t="shared" si="45"/>
        <v>101105.7</v>
      </c>
      <c r="Y247" s="231">
        <f t="shared" si="46"/>
        <v>133.80000000000001</v>
      </c>
      <c r="Z247" s="232">
        <f t="shared" si="47"/>
        <v>147563.96999999997</v>
      </c>
      <c r="AA247" s="22">
        <f t="shared" si="44"/>
        <v>0</v>
      </c>
      <c r="AB247" s="424">
        <f t="shared" si="48"/>
        <v>2.8990143619012088E-12</v>
      </c>
      <c r="AC247" s="424">
        <f t="shared" si="49"/>
        <v>0</v>
      </c>
    </row>
    <row r="248" spans="1:29" s="185" customFormat="1" ht="14.25" customHeight="1" x14ac:dyDescent="0.25">
      <c r="A248" s="188"/>
      <c r="B248" s="189"/>
      <c r="C248" s="183"/>
      <c r="D248" s="357" t="s">
        <v>518</v>
      </c>
      <c r="E248" s="463"/>
      <c r="F248" s="264"/>
      <c r="G248" s="290"/>
      <c r="H248" s="184"/>
      <c r="I248" s="184"/>
      <c r="J248" s="184"/>
      <c r="N248" s="198"/>
      <c r="O248" s="198"/>
      <c r="P248" s="198"/>
      <c r="R248" s="219"/>
      <c r="S248" s="219"/>
      <c r="T248" s="443"/>
      <c r="U248" s="445"/>
      <c r="V248" s="443"/>
      <c r="W248" s="220"/>
      <c r="X248" s="231">
        <f t="shared" si="45"/>
        <v>0</v>
      </c>
      <c r="Y248" s="231">
        <f t="shared" si="46"/>
        <v>0</v>
      </c>
      <c r="Z248" s="232">
        <f t="shared" si="47"/>
        <v>0</v>
      </c>
      <c r="AA248" s="22">
        <f t="shared" si="44"/>
        <v>0</v>
      </c>
      <c r="AB248" s="424">
        <f t="shared" si="48"/>
        <v>0</v>
      </c>
      <c r="AC248" s="424">
        <f t="shared" si="49"/>
        <v>0</v>
      </c>
    </row>
    <row r="249" spans="1:29" s="185" customFormat="1" ht="14.25" customHeight="1" x14ac:dyDescent="0.25">
      <c r="A249" s="188"/>
      <c r="B249" s="189"/>
      <c r="C249" s="183"/>
      <c r="D249" s="358" t="s">
        <v>538</v>
      </c>
      <c r="E249" s="463"/>
      <c r="F249" s="264">
        <v>49.23</v>
      </c>
      <c r="G249" s="290"/>
      <c r="H249" s="184"/>
      <c r="I249" s="184"/>
      <c r="J249" s="184"/>
      <c r="N249" s="198"/>
      <c r="O249" s="198"/>
      <c r="P249" s="198"/>
      <c r="R249" s="219">
        <f>$R$247/$F$247*F249</f>
        <v>124246.50212219627</v>
      </c>
      <c r="S249" s="219">
        <f>101239.5/98.53*F249</f>
        <v>50583.787526641623</v>
      </c>
      <c r="T249" s="443">
        <f>$T$247/$F$247*F249</f>
        <v>50383.230112656041</v>
      </c>
      <c r="U249" s="445"/>
      <c r="V249" s="443">
        <f t="shared" si="51"/>
        <v>73863.272009540233</v>
      </c>
      <c r="W249" s="220">
        <f>SUM(R249-S249)</f>
        <v>73662.714595554644</v>
      </c>
      <c r="X249" s="231">
        <f t="shared" si="45"/>
        <v>50583.787526641623</v>
      </c>
      <c r="Y249" s="231">
        <f t="shared" si="46"/>
        <v>0</v>
      </c>
      <c r="Z249" s="232">
        <f t="shared" si="47"/>
        <v>73662.714595554644</v>
      </c>
      <c r="AA249" s="22">
        <f t="shared" si="44"/>
        <v>0</v>
      </c>
      <c r="AB249" s="424">
        <f t="shared" si="48"/>
        <v>0</v>
      </c>
      <c r="AC249" s="424">
        <f t="shared" si="49"/>
        <v>0</v>
      </c>
    </row>
    <row r="250" spans="1:29" s="185" customFormat="1" ht="14.25" customHeight="1" x14ac:dyDescent="0.25">
      <c r="A250" s="188"/>
      <c r="B250" s="189"/>
      <c r="C250" s="183"/>
      <c r="D250" s="358" t="s">
        <v>539</v>
      </c>
      <c r="E250" s="463"/>
      <c r="F250" s="264">
        <v>49.3</v>
      </c>
      <c r="G250" s="290"/>
      <c r="H250" s="184"/>
      <c r="I250" s="184"/>
      <c r="J250" s="184"/>
      <c r="N250" s="198"/>
      <c r="O250" s="198"/>
      <c r="P250" s="198"/>
      <c r="R250" s="219">
        <f>$R$247/$F$247*F250</f>
        <v>124423.16787780369</v>
      </c>
      <c r="S250" s="219">
        <f>101239.5/98.53*F250</f>
        <v>50655.712473358362</v>
      </c>
      <c r="T250" s="443">
        <f>$T$247/$F$247*F250</f>
        <v>50454.86988734395</v>
      </c>
      <c r="U250" s="445"/>
      <c r="V250" s="443">
        <f t="shared" si="51"/>
        <v>73968.297990459745</v>
      </c>
      <c r="W250" s="220">
        <f>SUM(R250-S250)</f>
        <v>73767.455404445325</v>
      </c>
      <c r="X250" s="231">
        <f t="shared" si="45"/>
        <v>50655.712473358362</v>
      </c>
      <c r="Y250" s="231">
        <f t="shared" si="46"/>
        <v>0</v>
      </c>
      <c r="Z250" s="232">
        <f t="shared" si="47"/>
        <v>73767.455404445325</v>
      </c>
      <c r="AA250" s="22">
        <f t="shared" si="44"/>
        <v>0</v>
      </c>
      <c r="AB250" s="424">
        <f t="shared" si="48"/>
        <v>0</v>
      </c>
      <c r="AC250" s="424">
        <f t="shared" si="49"/>
        <v>0</v>
      </c>
    </row>
    <row r="251" spans="1:29" s="149" customFormat="1" ht="14.25" customHeight="1" x14ac:dyDescent="0.25">
      <c r="A251" s="152"/>
      <c r="B251" s="143"/>
      <c r="C251" s="154"/>
      <c r="D251" s="143"/>
      <c r="E251" s="170"/>
      <c r="F251" s="158"/>
      <c r="G251" s="142"/>
      <c r="H251" s="157"/>
      <c r="I251" s="157"/>
      <c r="J251" s="157"/>
      <c r="K251" s="171"/>
      <c r="L251" s="171"/>
      <c r="M251" s="171"/>
      <c r="N251" s="159"/>
      <c r="O251" s="159"/>
      <c r="P251" s="159"/>
      <c r="Q251" s="171"/>
      <c r="R251" s="213"/>
      <c r="S251" s="213"/>
      <c r="T251" s="443"/>
      <c r="U251" s="445"/>
      <c r="V251" s="443"/>
      <c r="W251" s="214"/>
      <c r="X251" s="231">
        <f t="shared" si="45"/>
        <v>0</v>
      </c>
      <c r="Y251" s="231">
        <f t="shared" si="46"/>
        <v>0</v>
      </c>
      <c r="Z251" s="232">
        <f t="shared" si="47"/>
        <v>0</v>
      </c>
      <c r="AA251" s="22">
        <f t="shared" si="44"/>
        <v>0</v>
      </c>
      <c r="AB251" s="424">
        <f t="shared" si="48"/>
        <v>0</v>
      </c>
      <c r="AC251" s="424">
        <f t="shared" si="49"/>
        <v>0</v>
      </c>
    </row>
    <row r="252" spans="1:29" s="549" customFormat="1" ht="14.25" hidden="1" customHeight="1" x14ac:dyDescent="0.25">
      <c r="A252" s="539">
        <f>SUM(A247+1)</f>
        <v>66</v>
      </c>
      <c r="B252" s="540" t="s">
        <v>127</v>
      </c>
      <c r="C252" s="541">
        <v>283</v>
      </c>
      <c r="D252" s="540" t="s">
        <v>128</v>
      </c>
      <c r="E252" s="542">
        <v>36</v>
      </c>
      <c r="F252" s="543"/>
      <c r="G252" s="544"/>
      <c r="H252" s="545"/>
      <c r="I252" s="545"/>
      <c r="J252" s="545"/>
      <c r="K252" s="546"/>
      <c r="L252" s="546"/>
      <c r="M252" s="546"/>
      <c r="N252" s="543"/>
      <c r="O252" s="543"/>
      <c r="P252" s="547"/>
      <c r="Q252" s="546"/>
      <c r="R252" s="524"/>
      <c r="S252" s="524"/>
      <c r="T252" s="521"/>
      <c r="U252" s="522"/>
      <c r="V252" s="521"/>
      <c r="W252" s="548">
        <f t="shared" si="64"/>
        <v>0</v>
      </c>
      <c r="X252" s="524">
        <f t="shared" si="45"/>
        <v>0</v>
      </c>
      <c r="Y252" s="524">
        <f t="shared" si="46"/>
        <v>0</v>
      </c>
      <c r="Z252" s="525">
        <f t="shared" si="47"/>
        <v>0</v>
      </c>
      <c r="AA252" s="526">
        <f t="shared" si="44"/>
        <v>0</v>
      </c>
      <c r="AB252" s="527">
        <f t="shared" si="48"/>
        <v>0</v>
      </c>
      <c r="AC252" s="527">
        <f t="shared" si="49"/>
        <v>0</v>
      </c>
    </row>
    <row r="253" spans="1:29" s="149" customFormat="1" ht="14.25" hidden="1" customHeight="1" x14ac:dyDescent="0.25">
      <c r="A253" s="163"/>
      <c r="B253" s="167"/>
      <c r="C253" s="146"/>
      <c r="D253" s="357" t="s">
        <v>518</v>
      </c>
      <c r="E253" s="169"/>
      <c r="F253" s="139"/>
      <c r="G253" s="249"/>
      <c r="H253" s="148"/>
      <c r="I253" s="148"/>
      <c r="J253" s="148"/>
      <c r="N253" s="139"/>
      <c r="O253" s="139"/>
      <c r="P253" s="140"/>
      <c r="R253" s="211"/>
      <c r="S253" s="211"/>
      <c r="T253" s="443"/>
      <c r="U253" s="445"/>
      <c r="V253" s="443"/>
      <c r="W253" s="212"/>
      <c r="X253" s="231">
        <f t="shared" si="45"/>
        <v>0</v>
      </c>
      <c r="Y253" s="231">
        <f t="shared" si="46"/>
        <v>0</v>
      </c>
      <c r="Z253" s="232">
        <f t="shared" si="47"/>
        <v>0</v>
      </c>
      <c r="AA253" s="22">
        <f t="shared" si="44"/>
        <v>0</v>
      </c>
      <c r="AB253" s="424">
        <f t="shared" si="48"/>
        <v>0</v>
      </c>
      <c r="AC253" s="424">
        <f t="shared" si="49"/>
        <v>0</v>
      </c>
    </row>
    <row r="254" spans="1:29" s="149" customFormat="1" ht="14.25" hidden="1" customHeight="1" x14ac:dyDescent="0.25">
      <c r="A254" s="163"/>
      <c r="B254" s="167"/>
      <c r="C254" s="146"/>
      <c r="D254" s="250" t="s">
        <v>516</v>
      </c>
      <c r="E254" s="169"/>
      <c r="F254" s="139"/>
      <c r="G254" s="249"/>
      <c r="H254" s="148"/>
      <c r="I254" s="148"/>
      <c r="J254" s="148"/>
      <c r="N254" s="139"/>
      <c r="O254" s="139"/>
      <c r="P254" s="140"/>
      <c r="R254" s="211"/>
      <c r="S254" s="211"/>
      <c r="T254" s="443"/>
      <c r="U254" s="445"/>
      <c r="V254" s="443"/>
      <c r="W254" s="212">
        <f>SUM(R254-S254)</f>
        <v>0</v>
      </c>
      <c r="X254" s="231">
        <f t="shared" si="45"/>
        <v>0</v>
      </c>
      <c r="Y254" s="231">
        <f t="shared" si="46"/>
        <v>0</v>
      </c>
      <c r="Z254" s="232">
        <f t="shared" si="47"/>
        <v>0</v>
      </c>
      <c r="AA254" s="22">
        <f t="shared" si="44"/>
        <v>0</v>
      </c>
      <c r="AB254" s="424">
        <f t="shared" si="48"/>
        <v>0</v>
      </c>
      <c r="AC254" s="424">
        <f t="shared" si="49"/>
        <v>0</v>
      </c>
    </row>
    <row r="255" spans="1:29" s="149" customFormat="1" ht="14.25" hidden="1" customHeight="1" x14ac:dyDescent="0.25">
      <c r="A255" s="163"/>
      <c r="B255" s="167"/>
      <c r="C255" s="146"/>
      <c r="D255" s="250" t="s">
        <v>540</v>
      </c>
      <c r="E255" s="169"/>
      <c r="F255" s="139"/>
      <c r="G255" s="249"/>
      <c r="H255" s="148"/>
      <c r="I255" s="148"/>
      <c r="J255" s="148"/>
      <c r="N255" s="139"/>
      <c r="O255" s="139"/>
      <c r="P255" s="140"/>
      <c r="R255" s="211"/>
      <c r="S255" s="211"/>
      <c r="T255" s="443"/>
      <c r="U255" s="445"/>
      <c r="V255" s="443"/>
      <c r="W255" s="212">
        <f>SUM(R255-S255)</f>
        <v>0</v>
      </c>
      <c r="X255" s="231">
        <f t="shared" si="45"/>
        <v>0</v>
      </c>
      <c r="Y255" s="231">
        <f t="shared" si="46"/>
        <v>0</v>
      </c>
      <c r="Z255" s="232">
        <f t="shared" si="47"/>
        <v>0</v>
      </c>
      <c r="AA255" s="22">
        <f t="shared" si="44"/>
        <v>0</v>
      </c>
      <c r="AB255" s="424">
        <f t="shared" si="48"/>
        <v>0</v>
      </c>
      <c r="AC255" s="424">
        <f t="shared" si="49"/>
        <v>0</v>
      </c>
    </row>
    <row r="256" spans="1:29" s="149" customFormat="1" ht="14.25" hidden="1" customHeight="1" x14ac:dyDescent="0.25">
      <c r="A256" s="152"/>
      <c r="B256" s="143"/>
      <c r="C256" s="154"/>
      <c r="D256" s="162"/>
      <c r="E256" s="170"/>
      <c r="F256" s="158"/>
      <c r="G256" s="142"/>
      <c r="H256" s="157"/>
      <c r="I256" s="157"/>
      <c r="J256" s="157"/>
      <c r="K256" s="171"/>
      <c r="L256" s="171"/>
      <c r="M256" s="171"/>
      <c r="N256" s="158"/>
      <c r="O256" s="158"/>
      <c r="P256" s="159"/>
      <c r="Q256" s="171"/>
      <c r="R256" s="213"/>
      <c r="S256" s="213"/>
      <c r="T256" s="443"/>
      <c r="U256" s="445"/>
      <c r="V256" s="443"/>
      <c r="W256" s="214"/>
      <c r="X256" s="231">
        <f t="shared" si="45"/>
        <v>0</v>
      </c>
      <c r="Y256" s="231">
        <f t="shared" si="46"/>
        <v>0</v>
      </c>
      <c r="Z256" s="232">
        <f t="shared" si="47"/>
        <v>0</v>
      </c>
      <c r="AA256" s="22">
        <f t="shared" si="44"/>
        <v>0</v>
      </c>
      <c r="AB256" s="424">
        <f t="shared" si="48"/>
        <v>0</v>
      </c>
      <c r="AC256" s="424">
        <f t="shared" si="49"/>
        <v>0</v>
      </c>
    </row>
    <row r="257" spans="1:29" s="257" customFormat="1" ht="14.25" customHeight="1" x14ac:dyDescent="0.25">
      <c r="A257" s="224">
        <f>SUM(A247+1)</f>
        <v>66</v>
      </c>
      <c r="B257" s="225" t="s">
        <v>129</v>
      </c>
      <c r="C257" s="226">
        <v>284</v>
      </c>
      <c r="D257" s="225" t="s">
        <v>107</v>
      </c>
      <c r="E257" s="454">
        <v>8</v>
      </c>
      <c r="F257" s="252">
        <v>81.3</v>
      </c>
      <c r="G257" s="248">
        <v>1990</v>
      </c>
      <c r="H257" s="237">
        <f>SUM(Лист1!G76)</f>
        <v>222292.09</v>
      </c>
      <c r="I257" s="237">
        <f>SUM(Лист1!H76)</f>
        <v>97727.88</v>
      </c>
      <c r="J257" s="237">
        <f>SUM(Лист1!I76)</f>
        <v>116.42</v>
      </c>
      <c r="K257" s="261"/>
      <c r="L257" s="261"/>
      <c r="M257" s="261"/>
      <c r="N257" s="261"/>
      <c r="O257" s="261"/>
      <c r="P257" s="261"/>
      <c r="Q257" s="261"/>
      <c r="R257" s="231">
        <f t="shared" si="10"/>
        <v>222292.09</v>
      </c>
      <c r="S257" s="231">
        <f>SUM(I257+O257-J257)</f>
        <v>97611.46</v>
      </c>
      <c r="T257" s="443">
        <f>S257-3*U257</f>
        <v>97262.200000000012</v>
      </c>
      <c r="U257" s="445">
        <f t="shared" si="50"/>
        <v>116.42</v>
      </c>
      <c r="V257" s="443">
        <f t="shared" si="51"/>
        <v>125029.88999999998</v>
      </c>
      <c r="W257" s="238">
        <f t="shared" si="64"/>
        <v>124680.62999999999</v>
      </c>
      <c r="X257" s="231">
        <f t="shared" si="45"/>
        <v>97495.040000000008</v>
      </c>
      <c r="Y257" s="231">
        <f t="shared" si="46"/>
        <v>116.42</v>
      </c>
      <c r="Z257" s="232">
        <f t="shared" si="47"/>
        <v>124797.04999999999</v>
      </c>
      <c r="AA257" s="22">
        <f t="shared" si="44"/>
        <v>0</v>
      </c>
      <c r="AB257" s="424">
        <f t="shared" si="48"/>
        <v>-1.7479351299698465E-12</v>
      </c>
      <c r="AC257" s="424">
        <f t="shared" si="49"/>
        <v>0</v>
      </c>
    </row>
    <row r="258" spans="1:29" s="149" customFormat="1" ht="14.25" customHeight="1" x14ac:dyDescent="0.25">
      <c r="A258" s="163"/>
      <c r="B258" s="167"/>
      <c r="C258" s="146"/>
      <c r="D258" s="161" t="s">
        <v>491</v>
      </c>
      <c r="E258" s="169"/>
      <c r="F258" s="139">
        <v>81.3</v>
      </c>
      <c r="G258" s="249"/>
      <c r="H258" s="148"/>
      <c r="I258" s="148"/>
      <c r="J258" s="148"/>
      <c r="R258" s="211"/>
      <c r="S258" s="211"/>
      <c r="T258" s="443"/>
      <c r="U258" s="445"/>
      <c r="V258" s="443"/>
      <c r="W258" s="212"/>
      <c r="X258" s="231">
        <f t="shared" si="45"/>
        <v>0</v>
      </c>
      <c r="Y258" s="231">
        <f t="shared" si="46"/>
        <v>0</v>
      </c>
      <c r="Z258" s="232">
        <f t="shared" si="47"/>
        <v>0</v>
      </c>
      <c r="AA258" s="22">
        <f t="shared" si="44"/>
        <v>0</v>
      </c>
      <c r="AB258" s="424">
        <f t="shared" si="48"/>
        <v>0</v>
      </c>
      <c r="AC258" s="424">
        <f t="shared" si="49"/>
        <v>0</v>
      </c>
    </row>
    <row r="259" spans="1:29" s="149" customFormat="1" ht="14.25" customHeight="1" x14ac:dyDescent="0.25">
      <c r="A259" s="152"/>
      <c r="B259" s="143"/>
      <c r="C259" s="154"/>
      <c r="D259" s="143"/>
      <c r="E259" s="170"/>
      <c r="F259" s="158"/>
      <c r="G259" s="142"/>
      <c r="H259" s="157"/>
      <c r="I259" s="157"/>
      <c r="J259" s="157"/>
      <c r="K259" s="171"/>
      <c r="L259" s="171"/>
      <c r="M259" s="171"/>
      <c r="N259" s="171"/>
      <c r="O259" s="171"/>
      <c r="P259" s="171"/>
      <c r="Q259" s="171"/>
      <c r="R259" s="213"/>
      <c r="S259" s="213"/>
      <c r="T259" s="443"/>
      <c r="U259" s="445"/>
      <c r="V259" s="443"/>
      <c r="W259" s="214"/>
      <c r="X259" s="231">
        <f t="shared" si="45"/>
        <v>0</v>
      </c>
      <c r="Y259" s="231">
        <f t="shared" si="46"/>
        <v>0</v>
      </c>
      <c r="Z259" s="232">
        <f t="shared" si="47"/>
        <v>0</v>
      </c>
      <c r="AA259" s="22">
        <f t="shared" si="44"/>
        <v>0</v>
      </c>
      <c r="AB259" s="424">
        <f t="shared" si="48"/>
        <v>0</v>
      </c>
      <c r="AC259" s="424">
        <f t="shared" si="49"/>
        <v>0</v>
      </c>
    </row>
    <row r="260" spans="1:29" s="257" customFormat="1" ht="14.25" customHeight="1" x14ac:dyDescent="0.25">
      <c r="A260" s="224">
        <f>SUM(A257+1)</f>
        <v>67</v>
      </c>
      <c r="B260" s="225" t="s">
        <v>130</v>
      </c>
      <c r="C260" s="226">
        <v>285</v>
      </c>
      <c r="D260" s="225" t="s">
        <v>77</v>
      </c>
      <c r="E260" s="454">
        <v>272</v>
      </c>
      <c r="F260" s="252">
        <f>F262+F263</f>
        <v>108.94</v>
      </c>
      <c r="G260" s="248">
        <v>1988</v>
      </c>
      <c r="H260" s="237">
        <f>SUM(Лист1!G77)</f>
        <v>198673.28</v>
      </c>
      <c r="I260" s="237">
        <f>SUM(Лист1!H77)</f>
        <v>83377.31</v>
      </c>
      <c r="J260" s="237">
        <f>SUM(Лист1!I77)</f>
        <v>110.14</v>
      </c>
      <c r="K260" s="261"/>
      <c r="L260" s="261"/>
      <c r="M260" s="261"/>
      <c r="N260" s="252">
        <v>1283.17</v>
      </c>
      <c r="O260" s="252">
        <v>1062.3699999999999</v>
      </c>
      <c r="P260" s="259">
        <v>1.34</v>
      </c>
      <c r="Q260" s="261"/>
      <c r="R260" s="231">
        <f t="shared" si="10"/>
        <v>199956.45</v>
      </c>
      <c r="S260" s="231">
        <f>SUM(I260+O260-J260)</f>
        <v>84329.54</v>
      </c>
      <c r="T260" s="443">
        <f>S260-3*U260</f>
        <v>83995.099999999991</v>
      </c>
      <c r="U260" s="445">
        <f t="shared" si="50"/>
        <v>111.48</v>
      </c>
      <c r="V260" s="443">
        <f t="shared" si="51"/>
        <v>115961.35000000002</v>
      </c>
      <c r="W260" s="238">
        <f t="shared" si="64"/>
        <v>115626.91000000002</v>
      </c>
      <c r="X260" s="231">
        <f t="shared" si="45"/>
        <v>84218.06</v>
      </c>
      <c r="Y260" s="231">
        <f t="shared" si="46"/>
        <v>111.48</v>
      </c>
      <c r="Z260" s="232">
        <f t="shared" si="47"/>
        <v>115738.39000000001</v>
      </c>
      <c r="AA260" s="22">
        <f t="shared" ref="AA260:AA319" si="65">SUM(U260-Y260)</f>
        <v>0</v>
      </c>
      <c r="AB260" s="424">
        <f t="shared" si="48"/>
        <v>-4.0785153032629751E-12</v>
      </c>
      <c r="AC260" s="424">
        <f t="shared" si="49"/>
        <v>0</v>
      </c>
    </row>
    <row r="261" spans="1:29" s="269" customFormat="1" ht="14.25" customHeight="1" x14ac:dyDescent="0.25">
      <c r="A261" s="272"/>
      <c r="B261" s="276"/>
      <c r="C261" s="266"/>
      <c r="D261" s="353" t="s">
        <v>518</v>
      </c>
      <c r="E261" s="457"/>
      <c r="F261" s="268"/>
      <c r="G261" s="278"/>
      <c r="H261" s="151"/>
      <c r="I261" s="151"/>
      <c r="J261" s="151"/>
      <c r="N261" s="268"/>
      <c r="O261" s="268"/>
      <c r="P261" s="315"/>
      <c r="R261" s="274"/>
      <c r="S261" s="274"/>
      <c r="T261" s="443"/>
      <c r="U261" s="445"/>
      <c r="V261" s="443"/>
      <c r="W261" s="295"/>
      <c r="X261" s="231">
        <f t="shared" ref="X261:X320" si="66">SUM(S261-U261)</f>
        <v>0</v>
      </c>
      <c r="Y261" s="231">
        <f t="shared" ref="Y261:Y320" si="67">SUM(U261)</f>
        <v>0</v>
      </c>
      <c r="Z261" s="232">
        <f t="shared" ref="Z261:Z320" si="68">SUM(U261+W261)</f>
        <v>0</v>
      </c>
      <c r="AA261" s="22">
        <f t="shared" si="65"/>
        <v>0</v>
      </c>
      <c r="AB261" s="424">
        <f t="shared" ref="AB261:AB320" si="69">SUM(S261-X261-U261)</f>
        <v>0</v>
      </c>
      <c r="AC261" s="424">
        <f t="shared" ref="AC261:AC320" si="70">SUM(R261-X261-Z261)</f>
        <v>0</v>
      </c>
    </row>
    <row r="262" spans="1:29" s="269" customFormat="1" ht="14.25" customHeight="1" x14ac:dyDescent="0.25">
      <c r="A262" s="272"/>
      <c r="B262" s="276"/>
      <c r="C262" s="266"/>
      <c r="D262" s="354" t="s">
        <v>541</v>
      </c>
      <c r="E262" s="457"/>
      <c r="F262" s="268">
        <v>49.38</v>
      </c>
      <c r="G262" s="278"/>
      <c r="H262" s="151"/>
      <c r="I262" s="151"/>
      <c r="J262" s="151"/>
      <c r="N262" s="268"/>
      <c r="O262" s="268"/>
      <c r="P262" s="315"/>
      <c r="R262" s="274">
        <f>$R$260/$F$260*F262</f>
        <v>90635.666431062986</v>
      </c>
      <c r="S262" s="274">
        <f>S260/F260*F262</f>
        <v>38224.643704791626</v>
      </c>
      <c r="T262" s="443">
        <f>$T$260/$F$260*F262</f>
        <v>38073.04973379842</v>
      </c>
      <c r="U262" s="445"/>
      <c r="V262" s="443">
        <f t="shared" si="51"/>
        <v>52562.616697264566</v>
      </c>
      <c r="W262" s="295">
        <f>W260/F260*F262</f>
        <v>52411.022726271352</v>
      </c>
      <c r="X262" s="231">
        <f t="shared" si="66"/>
        <v>38224.643704791626</v>
      </c>
      <c r="Y262" s="231">
        <f t="shared" si="67"/>
        <v>0</v>
      </c>
      <c r="Z262" s="232">
        <f t="shared" si="68"/>
        <v>52411.022726271352</v>
      </c>
      <c r="AA262" s="22">
        <f t="shared" si="65"/>
        <v>0</v>
      </c>
      <c r="AB262" s="424">
        <f t="shared" si="69"/>
        <v>0</v>
      </c>
      <c r="AC262" s="424">
        <f t="shared" si="70"/>
        <v>7.2759576141834259E-12</v>
      </c>
    </row>
    <row r="263" spans="1:29" s="269" customFormat="1" ht="14.25" customHeight="1" x14ac:dyDescent="0.25">
      <c r="A263" s="272"/>
      <c r="B263" s="276"/>
      <c r="C263" s="266"/>
      <c r="D263" s="354" t="s">
        <v>532</v>
      </c>
      <c r="E263" s="457"/>
      <c r="F263" s="268">
        <v>59.56</v>
      </c>
      <c r="G263" s="278"/>
      <c r="H263" s="151"/>
      <c r="I263" s="151"/>
      <c r="J263" s="151"/>
      <c r="N263" s="268"/>
      <c r="O263" s="268"/>
      <c r="P263" s="315"/>
      <c r="R263" s="274">
        <f>$R$260/$F$260*F263</f>
        <v>109320.78356893705</v>
      </c>
      <c r="S263" s="274">
        <f>S260/F260*F263</f>
        <v>46104.896295208375</v>
      </c>
      <c r="T263" s="443">
        <f>$T$260/$F$260*F263</f>
        <v>45922.050266201579</v>
      </c>
      <c r="U263" s="445"/>
      <c r="V263" s="443">
        <f t="shared" si="51"/>
        <v>63398.733302735476</v>
      </c>
      <c r="W263" s="295">
        <f>W260/F260*F263</f>
        <v>63215.887273728673</v>
      </c>
      <c r="X263" s="231">
        <f t="shared" si="66"/>
        <v>46104.896295208375</v>
      </c>
      <c r="Y263" s="231">
        <f t="shared" si="67"/>
        <v>0</v>
      </c>
      <c r="Z263" s="232">
        <f t="shared" si="68"/>
        <v>63215.887273728673</v>
      </c>
      <c r="AA263" s="22">
        <f t="shared" si="65"/>
        <v>0</v>
      </c>
      <c r="AB263" s="424">
        <f t="shared" si="69"/>
        <v>0</v>
      </c>
      <c r="AC263" s="424">
        <f t="shared" si="70"/>
        <v>7.2759576141834259E-12</v>
      </c>
    </row>
    <row r="264" spans="1:29" s="149" customFormat="1" ht="14.25" customHeight="1" x14ac:dyDescent="0.25">
      <c r="A264" s="152"/>
      <c r="B264" s="143"/>
      <c r="C264" s="154"/>
      <c r="D264" s="143"/>
      <c r="E264" s="170"/>
      <c r="F264" s="158"/>
      <c r="G264" s="142"/>
      <c r="H264" s="157"/>
      <c r="I264" s="157"/>
      <c r="J264" s="157"/>
      <c r="K264" s="171"/>
      <c r="L264" s="171"/>
      <c r="M264" s="171"/>
      <c r="N264" s="158"/>
      <c r="O264" s="158"/>
      <c r="P264" s="159"/>
      <c r="Q264" s="171"/>
      <c r="R264" s="213"/>
      <c r="S264" s="213"/>
      <c r="T264" s="443"/>
      <c r="U264" s="445"/>
      <c r="V264" s="443"/>
      <c r="W264" s="214"/>
      <c r="X264" s="231">
        <f t="shared" si="66"/>
        <v>0</v>
      </c>
      <c r="Y264" s="231">
        <f t="shared" si="67"/>
        <v>0</v>
      </c>
      <c r="Z264" s="232">
        <f t="shared" si="68"/>
        <v>0</v>
      </c>
      <c r="AA264" s="22">
        <f t="shared" si="65"/>
        <v>0</v>
      </c>
      <c r="AB264" s="424">
        <f t="shared" si="69"/>
        <v>0</v>
      </c>
      <c r="AC264" s="424">
        <f t="shared" si="70"/>
        <v>0</v>
      </c>
    </row>
    <row r="265" spans="1:29" s="257" customFormat="1" ht="14.25" customHeight="1" x14ac:dyDescent="0.25">
      <c r="A265" s="224">
        <f>SUM(A260+1)</f>
        <v>68</v>
      </c>
      <c r="B265" s="225" t="s">
        <v>131</v>
      </c>
      <c r="C265" s="226">
        <v>286</v>
      </c>
      <c r="D265" s="225" t="s">
        <v>77</v>
      </c>
      <c r="E265" s="454">
        <v>292</v>
      </c>
      <c r="F265" s="252">
        <f>F266+F267</f>
        <v>180</v>
      </c>
      <c r="G265" s="248">
        <v>1991</v>
      </c>
      <c r="H265" s="237">
        <f>SUM(Лист1!G78)</f>
        <v>128084.47</v>
      </c>
      <c r="I265" s="237">
        <f>SUM(Лист1!H78)</f>
        <v>57440.47</v>
      </c>
      <c r="J265" s="237">
        <f>SUM(Лист1!I78)</f>
        <v>68.709999999999994</v>
      </c>
      <c r="K265" s="261"/>
      <c r="L265" s="261"/>
      <c r="M265" s="261"/>
      <c r="N265" s="259">
        <v>353.67</v>
      </c>
      <c r="O265" s="259">
        <v>313.48</v>
      </c>
      <c r="P265" s="259">
        <v>0.37</v>
      </c>
      <c r="Q265" s="261"/>
      <c r="R265" s="231">
        <f t="shared" si="10"/>
        <v>128438.14</v>
      </c>
      <c r="S265" s="231">
        <f>SUM(I265+O265-J265)</f>
        <v>57685.240000000005</v>
      </c>
      <c r="T265" s="443">
        <f>S265-3*U265</f>
        <v>57478.000000000007</v>
      </c>
      <c r="U265" s="445">
        <f t="shared" si="50"/>
        <v>69.08</v>
      </c>
      <c r="V265" s="443">
        <f t="shared" si="51"/>
        <v>70960.139999999985</v>
      </c>
      <c r="W265" s="238">
        <f t="shared" si="64"/>
        <v>70752.899999999994</v>
      </c>
      <c r="X265" s="231">
        <f t="shared" si="66"/>
        <v>57616.160000000003</v>
      </c>
      <c r="Y265" s="231">
        <f t="shared" si="67"/>
        <v>69.08</v>
      </c>
      <c r="Z265" s="232">
        <f t="shared" si="68"/>
        <v>70821.98</v>
      </c>
      <c r="AA265" s="22">
        <f t="shared" si="65"/>
        <v>0</v>
      </c>
      <c r="AB265" s="424">
        <f t="shared" si="69"/>
        <v>1.7479351299698465E-12</v>
      </c>
      <c r="AC265" s="424">
        <f t="shared" si="70"/>
        <v>0</v>
      </c>
    </row>
    <row r="266" spans="1:29" s="269" customFormat="1" ht="14.25" customHeight="1" x14ac:dyDescent="0.25">
      <c r="A266" s="272"/>
      <c r="B266" s="276"/>
      <c r="C266" s="266"/>
      <c r="D266" s="296" t="s">
        <v>622</v>
      </c>
      <c r="E266" s="457"/>
      <c r="F266" s="550">
        <v>37.799999999999997</v>
      </c>
      <c r="G266" s="278"/>
      <c r="H266" s="151"/>
      <c r="I266" s="151"/>
      <c r="J266" s="151"/>
      <c r="N266" s="315"/>
      <c r="O266" s="315"/>
      <c r="P266" s="315"/>
      <c r="R266" s="274">
        <f>$R$265/$F$265*F266</f>
        <v>26972.009399999999</v>
      </c>
      <c r="S266" s="274">
        <f>S265/F265*F266</f>
        <v>12113.9004</v>
      </c>
      <c r="T266" s="443">
        <f>$T$265/$F$265*F266</f>
        <v>12070.380000000001</v>
      </c>
      <c r="U266" s="445"/>
      <c r="V266" s="443">
        <f t="shared" si="51"/>
        <v>14901.629399999998</v>
      </c>
      <c r="W266" s="295">
        <f>W265/F265*F266</f>
        <v>14858.108999999999</v>
      </c>
      <c r="X266" s="231">
        <f t="shared" si="66"/>
        <v>12113.9004</v>
      </c>
      <c r="Y266" s="231">
        <f t="shared" si="67"/>
        <v>0</v>
      </c>
      <c r="Z266" s="232">
        <f t="shared" si="68"/>
        <v>14858.108999999999</v>
      </c>
      <c r="AA266" s="22">
        <f t="shared" si="65"/>
        <v>0</v>
      </c>
      <c r="AB266" s="424">
        <f t="shared" si="69"/>
        <v>0</v>
      </c>
      <c r="AC266" s="424">
        <f t="shared" si="70"/>
        <v>0</v>
      </c>
    </row>
    <row r="267" spans="1:29" s="269" customFormat="1" ht="14.25" customHeight="1" x14ac:dyDescent="0.25">
      <c r="A267" s="272"/>
      <c r="B267" s="276"/>
      <c r="C267" s="266"/>
      <c r="D267" s="296" t="s">
        <v>473</v>
      </c>
      <c r="E267" s="457"/>
      <c r="F267" s="268">
        <v>142.19999999999999</v>
      </c>
      <c r="G267" s="278"/>
      <c r="H267" s="151"/>
      <c r="I267" s="151"/>
      <c r="J267" s="151"/>
      <c r="N267" s="315"/>
      <c r="O267" s="315"/>
      <c r="P267" s="315"/>
      <c r="R267" s="274">
        <f>$R$265/$F$265*F267</f>
        <v>101466.1306</v>
      </c>
      <c r="S267" s="274">
        <f>S265/F265*F267</f>
        <v>45571.339600000007</v>
      </c>
      <c r="T267" s="443">
        <f>$T$265/$F$265*F267</f>
        <v>45407.62</v>
      </c>
      <c r="U267" s="445"/>
      <c r="V267" s="443">
        <f t="shared" si="51"/>
        <v>56058.510600000001</v>
      </c>
      <c r="W267" s="295">
        <f>W265/F265*F267</f>
        <v>55894.790999999997</v>
      </c>
      <c r="X267" s="231">
        <f t="shared" si="66"/>
        <v>45571.339600000007</v>
      </c>
      <c r="Y267" s="231">
        <f t="shared" si="67"/>
        <v>0</v>
      </c>
      <c r="Z267" s="232">
        <f t="shared" si="68"/>
        <v>55894.790999999997</v>
      </c>
      <c r="AA267" s="22">
        <f t="shared" si="65"/>
        <v>0</v>
      </c>
      <c r="AB267" s="424">
        <f t="shared" si="69"/>
        <v>0</v>
      </c>
      <c r="AC267" s="424">
        <f t="shared" si="70"/>
        <v>0</v>
      </c>
    </row>
    <row r="268" spans="1:29" s="149" customFormat="1" ht="14.25" customHeight="1" x14ac:dyDescent="0.25">
      <c r="A268" s="152"/>
      <c r="B268" s="143"/>
      <c r="C268" s="154"/>
      <c r="D268" s="143"/>
      <c r="E268" s="170"/>
      <c r="F268" s="158"/>
      <c r="G268" s="142"/>
      <c r="H268" s="157"/>
      <c r="I268" s="157"/>
      <c r="J268" s="157"/>
      <c r="K268" s="171"/>
      <c r="L268" s="171"/>
      <c r="M268" s="171"/>
      <c r="N268" s="159"/>
      <c r="O268" s="159"/>
      <c r="P268" s="159"/>
      <c r="Q268" s="171"/>
      <c r="R268" s="213"/>
      <c r="S268" s="213"/>
      <c r="T268" s="443"/>
      <c r="U268" s="445"/>
      <c r="V268" s="443"/>
      <c r="W268" s="214"/>
      <c r="X268" s="231">
        <f t="shared" si="66"/>
        <v>0</v>
      </c>
      <c r="Y268" s="231">
        <f t="shared" si="67"/>
        <v>0</v>
      </c>
      <c r="Z268" s="232">
        <f t="shared" si="68"/>
        <v>0</v>
      </c>
      <c r="AA268" s="22">
        <f t="shared" si="65"/>
        <v>0</v>
      </c>
      <c r="AB268" s="424">
        <f t="shared" si="69"/>
        <v>0</v>
      </c>
      <c r="AC268" s="424">
        <f t="shared" si="70"/>
        <v>0</v>
      </c>
    </row>
    <row r="269" spans="1:29" s="257" customFormat="1" ht="14.25" customHeight="1" x14ac:dyDescent="0.25">
      <c r="A269" s="313">
        <f>SUM(A265+1)</f>
        <v>69</v>
      </c>
      <c r="B269" s="225" t="s">
        <v>132</v>
      </c>
      <c r="C269" s="226">
        <v>288</v>
      </c>
      <c r="D269" s="225" t="s">
        <v>77</v>
      </c>
      <c r="E269" s="454">
        <v>298</v>
      </c>
      <c r="F269" s="252">
        <v>44.3</v>
      </c>
      <c r="G269" s="248">
        <v>1985</v>
      </c>
      <c r="H269" s="237">
        <f>SUM(Лист1!G79)</f>
        <v>76278.55</v>
      </c>
      <c r="I269" s="237">
        <f>SUM(Лист1!H79)</f>
        <v>29031.42</v>
      </c>
      <c r="J269" s="237">
        <f>SUM(Лист1!I79)</f>
        <v>42.42</v>
      </c>
      <c r="K269" s="261"/>
      <c r="L269" s="261"/>
      <c r="M269" s="261"/>
      <c r="N269" s="261"/>
      <c r="O269" s="261"/>
      <c r="P269" s="261"/>
      <c r="Q269" s="261"/>
      <c r="R269" s="231">
        <f t="shared" si="10"/>
        <v>76278.55</v>
      </c>
      <c r="S269" s="231">
        <f>SUM(I269+O269-J269)</f>
        <v>28989</v>
      </c>
      <c r="T269" s="443">
        <f>S269-3*U269</f>
        <v>28861.74</v>
      </c>
      <c r="U269" s="445">
        <f t="shared" si="50"/>
        <v>42.42</v>
      </c>
      <c r="V269" s="443">
        <f t="shared" si="51"/>
        <v>47416.81</v>
      </c>
      <c r="W269" s="238">
        <f t="shared" si="64"/>
        <v>47289.55</v>
      </c>
      <c r="X269" s="231">
        <f t="shared" si="66"/>
        <v>28946.58</v>
      </c>
      <c r="Y269" s="231">
        <f t="shared" si="67"/>
        <v>42.42</v>
      </c>
      <c r="Z269" s="232">
        <f t="shared" si="68"/>
        <v>47331.97</v>
      </c>
      <c r="AA269" s="22">
        <f t="shared" si="65"/>
        <v>0</v>
      </c>
      <c r="AB269" s="424">
        <f t="shared" si="69"/>
        <v>-1.7479351299698465E-12</v>
      </c>
      <c r="AC269" s="424">
        <f t="shared" si="70"/>
        <v>0</v>
      </c>
    </row>
    <row r="270" spans="1:29" s="269" customFormat="1" ht="14.25" customHeight="1" x14ac:dyDescent="0.25">
      <c r="A270" s="272"/>
      <c r="B270" s="276"/>
      <c r="C270" s="266"/>
      <c r="D270" s="296" t="s">
        <v>492</v>
      </c>
      <c r="E270" s="457"/>
      <c r="F270" s="268">
        <v>44.3</v>
      </c>
      <c r="G270" s="278"/>
      <c r="H270" s="151"/>
      <c r="I270" s="151"/>
      <c r="J270" s="151"/>
      <c r="R270" s="274"/>
      <c r="S270" s="274"/>
      <c r="T270" s="443"/>
      <c r="U270" s="445"/>
      <c r="V270" s="443"/>
      <c r="W270" s="295"/>
      <c r="X270" s="231">
        <f t="shared" si="66"/>
        <v>0</v>
      </c>
      <c r="Y270" s="231">
        <f t="shared" si="67"/>
        <v>0</v>
      </c>
      <c r="Z270" s="232">
        <f t="shared" si="68"/>
        <v>0</v>
      </c>
      <c r="AA270" s="22">
        <f t="shared" si="65"/>
        <v>0</v>
      </c>
      <c r="AB270" s="424">
        <f t="shared" si="69"/>
        <v>0</v>
      </c>
      <c r="AC270" s="424">
        <f t="shared" si="70"/>
        <v>0</v>
      </c>
    </row>
    <row r="271" spans="1:29" s="149" customFormat="1" ht="14.25" customHeight="1" x14ac:dyDescent="0.25">
      <c r="A271" s="152"/>
      <c r="B271" s="143"/>
      <c r="C271" s="154"/>
      <c r="D271" s="143"/>
      <c r="E271" s="170"/>
      <c r="F271" s="158"/>
      <c r="G271" s="142"/>
      <c r="H271" s="157"/>
      <c r="I271" s="157"/>
      <c r="J271" s="157"/>
      <c r="K271" s="171"/>
      <c r="L271" s="171"/>
      <c r="M271" s="171"/>
      <c r="N271" s="171"/>
      <c r="O271" s="171"/>
      <c r="P271" s="171"/>
      <c r="Q271" s="171"/>
      <c r="R271" s="213"/>
      <c r="S271" s="213"/>
      <c r="T271" s="443"/>
      <c r="U271" s="445"/>
      <c r="V271" s="443"/>
      <c r="W271" s="214"/>
      <c r="X271" s="231">
        <f t="shared" si="66"/>
        <v>0</v>
      </c>
      <c r="Y271" s="231">
        <f t="shared" si="67"/>
        <v>0</v>
      </c>
      <c r="Z271" s="232">
        <f t="shared" si="68"/>
        <v>0</v>
      </c>
      <c r="AA271" s="22">
        <f t="shared" si="65"/>
        <v>0</v>
      </c>
      <c r="AB271" s="424">
        <f t="shared" si="69"/>
        <v>0</v>
      </c>
      <c r="AC271" s="424">
        <f t="shared" si="70"/>
        <v>0</v>
      </c>
    </row>
    <row r="272" spans="1:29" s="257" customFormat="1" ht="14.25" customHeight="1" x14ac:dyDescent="0.25">
      <c r="A272" s="330">
        <f>SUM(A269+1)</f>
        <v>70</v>
      </c>
      <c r="B272" s="225" t="s">
        <v>133</v>
      </c>
      <c r="C272" s="226">
        <v>289</v>
      </c>
      <c r="D272" s="225" t="s">
        <v>77</v>
      </c>
      <c r="E272" s="454">
        <v>250</v>
      </c>
      <c r="F272" s="252">
        <f>F274+F275</f>
        <v>53.66</v>
      </c>
      <c r="G272" s="248">
        <v>1984</v>
      </c>
      <c r="H272" s="237">
        <f>SUM(Лист1!G80)</f>
        <v>93818.29</v>
      </c>
      <c r="I272" s="237">
        <f>SUM(Лист1!H80)</f>
        <v>39331.629999999997</v>
      </c>
      <c r="J272" s="237">
        <f>SUM(Лист1!I80)</f>
        <v>52.8</v>
      </c>
      <c r="K272" s="261"/>
      <c r="L272" s="261"/>
      <c r="M272" s="261"/>
      <c r="N272" s="252">
        <v>2481.85</v>
      </c>
      <c r="O272" s="252">
        <v>2220.5</v>
      </c>
      <c r="P272" s="259">
        <v>2.83</v>
      </c>
      <c r="Q272" s="261"/>
      <c r="R272" s="231">
        <f t="shared" si="10"/>
        <v>96300.14</v>
      </c>
      <c r="S272" s="231">
        <f>SUM(I272+O272-J272)</f>
        <v>41499.329999999994</v>
      </c>
      <c r="T272" s="443">
        <f>S272-3*U272</f>
        <v>41332.439999999995</v>
      </c>
      <c r="U272" s="445">
        <f t="shared" si="50"/>
        <v>55.629999999999995</v>
      </c>
      <c r="V272" s="443">
        <f t="shared" si="51"/>
        <v>54967.700000000004</v>
      </c>
      <c r="W272" s="238">
        <f t="shared" si="64"/>
        <v>54800.810000000005</v>
      </c>
      <c r="X272" s="231">
        <f t="shared" si="66"/>
        <v>41443.699999999997</v>
      </c>
      <c r="Y272" s="231">
        <f t="shared" si="67"/>
        <v>55.629999999999995</v>
      </c>
      <c r="Z272" s="232">
        <f t="shared" si="68"/>
        <v>54856.44</v>
      </c>
      <c r="AA272" s="22">
        <f t="shared" si="65"/>
        <v>0</v>
      </c>
      <c r="AB272" s="424">
        <f t="shared" si="69"/>
        <v>-2.6147972675971687E-12</v>
      </c>
      <c r="AC272" s="424">
        <f t="shared" si="70"/>
        <v>0</v>
      </c>
    </row>
    <row r="273" spans="1:29" s="185" customFormat="1" ht="14.25" customHeight="1" x14ac:dyDescent="0.25">
      <c r="A273" s="188"/>
      <c r="B273" s="189"/>
      <c r="C273" s="183"/>
      <c r="D273" s="357" t="s">
        <v>518</v>
      </c>
      <c r="E273" s="463"/>
      <c r="F273" s="264"/>
      <c r="G273" s="290"/>
      <c r="H273" s="184"/>
      <c r="I273" s="184"/>
      <c r="J273" s="184"/>
      <c r="N273" s="264"/>
      <c r="O273" s="264"/>
      <c r="P273" s="198"/>
      <c r="R273" s="219"/>
      <c r="S273" s="219"/>
      <c r="T273" s="443"/>
      <c r="U273" s="445"/>
      <c r="V273" s="443"/>
      <c r="W273" s="220"/>
      <c r="X273" s="231">
        <f t="shared" si="66"/>
        <v>0</v>
      </c>
      <c r="Y273" s="231">
        <f t="shared" si="67"/>
        <v>0</v>
      </c>
      <c r="Z273" s="232">
        <f t="shared" si="68"/>
        <v>0</v>
      </c>
      <c r="AA273" s="22">
        <f t="shared" si="65"/>
        <v>0</v>
      </c>
      <c r="AB273" s="424">
        <f t="shared" si="69"/>
        <v>0</v>
      </c>
      <c r="AC273" s="424">
        <f t="shared" si="70"/>
        <v>0</v>
      </c>
    </row>
    <row r="274" spans="1:29" s="185" customFormat="1" ht="14.25" customHeight="1" x14ac:dyDescent="0.25">
      <c r="A274" s="188"/>
      <c r="B274" s="189"/>
      <c r="C274" s="183"/>
      <c r="D274" s="358" t="s">
        <v>529</v>
      </c>
      <c r="E274" s="463"/>
      <c r="F274" s="264">
        <v>23.88</v>
      </c>
      <c r="G274" s="290"/>
      <c r="H274" s="184"/>
      <c r="I274" s="184"/>
      <c r="J274" s="184"/>
      <c r="N274" s="264"/>
      <c r="O274" s="264"/>
      <c r="P274" s="198"/>
      <c r="R274" s="219">
        <f>$R$272/$F$272*F274</f>
        <v>42855.895326127466</v>
      </c>
      <c r="S274" s="219">
        <f>S272/F272*F274</f>
        <v>18468.207238166229</v>
      </c>
      <c r="T274" s="443">
        <f>$T$272/$F$272*F274</f>
        <v>18393.937144986954</v>
      </c>
      <c r="U274" s="445"/>
      <c r="V274" s="443">
        <f t="shared" ref="V274:V335" si="71">R274-T274</f>
        <v>24461.958181140511</v>
      </c>
      <c r="W274" s="220">
        <f>W272/F272*F274</f>
        <v>24387.68808796124</v>
      </c>
      <c r="X274" s="231">
        <f t="shared" si="66"/>
        <v>18468.207238166229</v>
      </c>
      <c r="Y274" s="231">
        <f t="shared" si="67"/>
        <v>0</v>
      </c>
      <c r="Z274" s="232">
        <f t="shared" si="68"/>
        <v>24387.68808796124</v>
      </c>
      <c r="AA274" s="22">
        <f t="shared" si="65"/>
        <v>0</v>
      </c>
      <c r="AB274" s="424">
        <f t="shared" si="69"/>
        <v>0</v>
      </c>
      <c r="AC274" s="424">
        <f t="shared" si="70"/>
        <v>-3.637978807091713E-12</v>
      </c>
    </row>
    <row r="275" spans="1:29" s="185" customFormat="1" ht="14.25" customHeight="1" x14ac:dyDescent="0.25">
      <c r="A275" s="188"/>
      <c r="B275" s="189"/>
      <c r="C275" s="183"/>
      <c r="D275" s="358" t="s">
        <v>542</v>
      </c>
      <c r="E275" s="463"/>
      <c r="F275" s="264">
        <v>29.78</v>
      </c>
      <c r="G275" s="290"/>
      <c r="H275" s="184"/>
      <c r="I275" s="184"/>
      <c r="J275" s="184"/>
      <c r="N275" s="264"/>
      <c r="O275" s="264"/>
      <c r="P275" s="198"/>
      <c r="R275" s="219">
        <f>$R$272/$F$272*F275</f>
        <v>53444.244673872534</v>
      </c>
      <c r="S275" s="219">
        <f>S272/F272*F275</f>
        <v>23031.122761833765</v>
      </c>
      <c r="T275" s="443">
        <f>$T$272/$F$272*F275</f>
        <v>22938.502855013045</v>
      </c>
      <c r="U275" s="445"/>
      <c r="V275" s="443">
        <f t="shared" si="71"/>
        <v>30505.741818859489</v>
      </c>
      <c r="W275" s="220">
        <f>W272/F272*F275</f>
        <v>30413.121912038769</v>
      </c>
      <c r="X275" s="231">
        <f t="shared" si="66"/>
        <v>23031.122761833765</v>
      </c>
      <c r="Y275" s="231">
        <f t="shared" si="67"/>
        <v>0</v>
      </c>
      <c r="Z275" s="232">
        <f t="shared" si="68"/>
        <v>30413.121912038769</v>
      </c>
      <c r="AA275" s="22">
        <f t="shared" si="65"/>
        <v>0</v>
      </c>
      <c r="AB275" s="424">
        <f t="shared" si="69"/>
        <v>0</v>
      </c>
      <c r="AC275" s="424">
        <f t="shared" si="70"/>
        <v>0</v>
      </c>
    </row>
    <row r="276" spans="1:29" s="149" customFormat="1" ht="14.25" customHeight="1" x14ac:dyDescent="0.25">
      <c r="A276" s="152"/>
      <c r="B276" s="143"/>
      <c r="C276" s="154"/>
      <c r="D276" s="482"/>
      <c r="E276" s="170"/>
      <c r="F276" s="158"/>
      <c r="G276" s="142"/>
      <c r="H276" s="157"/>
      <c r="I276" s="157"/>
      <c r="J276" s="157"/>
      <c r="K276" s="171"/>
      <c r="L276" s="171"/>
      <c r="M276" s="171"/>
      <c r="N276" s="158"/>
      <c r="O276" s="158"/>
      <c r="P276" s="159"/>
      <c r="Q276" s="171"/>
      <c r="R276" s="213"/>
      <c r="S276" s="213"/>
      <c r="T276" s="443"/>
      <c r="U276" s="445"/>
      <c r="V276" s="443"/>
      <c r="W276" s="214"/>
      <c r="X276" s="231">
        <f t="shared" si="66"/>
        <v>0</v>
      </c>
      <c r="Y276" s="231">
        <f t="shared" si="67"/>
        <v>0</v>
      </c>
      <c r="Z276" s="232">
        <f t="shared" si="68"/>
        <v>0</v>
      </c>
      <c r="AA276" s="22">
        <f t="shared" si="65"/>
        <v>0</v>
      </c>
      <c r="AB276" s="424">
        <f t="shared" si="69"/>
        <v>0</v>
      </c>
      <c r="AC276" s="424">
        <f t="shared" si="70"/>
        <v>0</v>
      </c>
    </row>
    <row r="277" spans="1:29" s="257" customFormat="1" ht="14.25" customHeight="1" x14ac:dyDescent="0.25">
      <c r="A277" s="224">
        <f>SUM(A272+1)</f>
        <v>71</v>
      </c>
      <c r="B277" s="225" t="s">
        <v>134</v>
      </c>
      <c r="C277" s="226">
        <v>290</v>
      </c>
      <c r="D277" s="225" t="s">
        <v>77</v>
      </c>
      <c r="E277" s="454">
        <v>268</v>
      </c>
      <c r="F277" s="252">
        <v>43.08</v>
      </c>
      <c r="G277" s="248">
        <v>1987</v>
      </c>
      <c r="H277" s="237">
        <f>SUM(Лист1!G81)</f>
        <v>145841.09</v>
      </c>
      <c r="I277" s="237">
        <f>SUM(Лист1!H81)</f>
        <v>59872.37</v>
      </c>
      <c r="J277" s="237">
        <f>SUM(Лист1!I81)</f>
        <v>79.150000000000006</v>
      </c>
      <c r="K277" s="261"/>
      <c r="L277" s="261"/>
      <c r="M277" s="261"/>
      <c r="N277" s="259">
        <v>949.49</v>
      </c>
      <c r="O277" s="259">
        <v>805.46</v>
      </c>
      <c r="P277" s="259">
        <v>1.04</v>
      </c>
      <c r="Q277" s="261"/>
      <c r="R277" s="231">
        <f t="shared" si="10"/>
        <v>146790.57999999999</v>
      </c>
      <c r="S277" s="231">
        <f>SUM(I277+O277-J277)</f>
        <v>60598.68</v>
      </c>
      <c r="T277" s="443">
        <f>S277-3*U277</f>
        <v>60358.11</v>
      </c>
      <c r="U277" s="445">
        <f t="shared" ref="U277:U326" si="72">J277+P277</f>
        <v>80.190000000000012</v>
      </c>
      <c r="V277" s="443">
        <f t="shared" si="71"/>
        <v>86432.469999999987</v>
      </c>
      <c r="W277" s="238">
        <f t="shared" si="64"/>
        <v>86191.9</v>
      </c>
      <c r="X277" s="231">
        <f t="shared" si="66"/>
        <v>60518.49</v>
      </c>
      <c r="Y277" s="231">
        <f t="shared" si="67"/>
        <v>80.190000000000012</v>
      </c>
      <c r="Z277" s="232">
        <f t="shared" si="68"/>
        <v>86272.09</v>
      </c>
      <c r="AA277" s="22">
        <f t="shared" si="65"/>
        <v>0</v>
      </c>
      <c r="AB277" s="424">
        <f t="shared" si="69"/>
        <v>2.3163693185779266E-12</v>
      </c>
      <c r="AC277" s="424">
        <f t="shared" si="70"/>
        <v>0</v>
      </c>
    </row>
    <row r="278" spans="1:29" s="269" customFormat="1" ht="14.25" customHeight="1" x14ac:dyDescent="0.25">
      <c r="A278" s="272"/>
      <c r="B278" s="276"/>
      <c r="C278" s="266"/>
      <c r="D278" s="296" t="s">
        <v>544</v>
      </c>
      <c r="E278" s="457"/>
      <c r="F278" s="268"/>
      <c r="G278" s="278"/>
      <c r="H278" s="151"/>
      <c r="I278" s="151"/>
      <c r="J278" s="151"/>
      <c r="N278" s="315"/>
      <c r="O278" s="315"/>
      <c r="P278" s="315"/>
      <c r="R278" s="274"/>
      <c r="S278" s="274"/>
      <c r="T278" s="443"/>
      <c r="U278" s="445"/>
      <c r="V278" s="443"/>
      <c r="W278" s="295"/>
      <c r="X278" s="231">
        <f t="shared" si="66"/>
        <v>0</v>
      </c>
      <c r="Y278" s="231">
        <f t="shared" si="67"/>
        <v>0</v>
      </c>
      <c r="Z278" s="232">
        <f t="shared" si="68"/>
        <v>0</v>
      </c>
      <c r="AA278" s="22">
        <f t="shared" si="65"/>
        <v>0</v>
      </c>
      <c r="AB278" s="424">
        <f t="shared" si="69"/>
        <v>0</v>
      </c>
      <c r="AC278" s="424">
        <f t="shared" si="70"/>
        <v>0</v>
      </c>
    </row>
    <row r="279" spans="1:29" s="269" customFormat="1" ht="14.25" customHeight="1" x14ac:dyDescent="0.25">
      <c r="A279" s="272"/>
      <c r="B279" s="276"/>
      <c r="C279" s="266"/>
      <c r="D279" s="478" t="s">
        <v>543</v>
      </c>
      <c r="E279" s="457"/>
      <c r="F279" s="268">
        <v>43.08</v>
      </c>
      <c r="G279" s="278"/>
      <c r="H279" s="151"/>
      <c r="I279" s="151"/>
      <c r="J279" s="151"/>
      <c r="N279" s="315"/>
      <c r="O279" s="315"/>
      <c r="P279" s="315"/>
      <c r="R279" s="274">
        <f>$R$277/$F$277*F279</f>
        <v>146790.57999999999</v>
      </c>
      <c r="S279" s="274">
        <f>S277/F277*F279</f>
        <v>60598.68</v>
      </c>
      <c r="T279" s="443">
        <f>$T$277/$F$277*F279</f>
        <v>60358.11</v>
      </c>
      <c r="U279" s="445"/>
      <c r="V279" s="443">
        <f t="shared" si="71"/>
        <v>86432.469999999987</v>
      </c>
      <c r="W279" s="295">
        <f>W277/F277*F279</f>
        <v>86191.9</v>
      </c>
      <c r="X279" s="231">
        <f t="shared" si="66"/>
        <v>60598.68</v>
      </c>
      <c r="Y279" s="231">
        <f t="shared" si="67"/>
        <v>0</v>
      </c>
      <c r="Z279" s="232">
        <f t="shared" si="68"/>
        <v>86191.9</v>
      </c>
      <c r="AA279" s="22">
        <f t="shared" si="65"/>
        <v>0</v>
      </c>
      <c r="AB279" s="424">
        <f t="shared" si="69"/>
        <v>0</v>
      </c>
      <c r="AC279" s="424">
        <f t="shared" si="70"/>
        <v>0</v>
      </c>
    </row>
    <row r="280" spans="1:29" s="149" customFormat="1" ht="14.25" customHeight="1" x14ac:dyDescent="0.25">
      <c r="A280" s="152"/>
      <c r="B280" s="143"/>
      <c r="C280" s="154"/>
      <c r="D280" s="143"/>
      <c r="E280" s="170"/>
      <c r="F280" s="158"/>
      <c r="G280" s="142"/>
      <c r="H280" s="157"/>
      <c r="I280" s="157"/>
      <c r="J280" s="157"/>
      <c r="K280" s="171"/>
      <c r="L280" s="171"/>
      <c r="M280" s="171"/>
      <c r="N280" s="159"/>
      <c r="O280" s="159"/>
      <c r="P280" s="159"/>
      <c r="Q280" s="171"/>
      <c r="R280" s="213"/>
      <c r="S280" s="213"/>
      <c r="T280" s="443"/>
      <c r="U280" s="445"/>
      <c r="V280" s="443"/>
      <c r="W280" s="214"/>
      <c r="X280" s="231">
        <f t="shared" si="66"/>
        <v>0</v>
      </c>
      <c r="Y280" s="231">
        <f t="shared" si="67"/>
        <v>0</v>
      </c>
      <c r="Z280" s="232">
        <f t="shared" si="68"/>
        <v>0</v>
      </c>
      <c r="AA280" s="22">
        <f t="shared" si="65"/>
        <v>0</v>
      </c>
      <c r="AB280" s="424">
        <f t="shared" si="69"/>
        <v>0</v>
      </c>
      <c r="AC280" s="424">
        <f t="shared" si="70"/>
        <v>0</v>
      </c>
    </row>
    <row r="281" spans="1:29" s="257" customFormat="1" ht="14.25" customHeight="1" x14ac:dyDescent="0.25">
      <c r="A281" s="313">
        <f>SUM(A277+1)</f>
        <v>72</v>
      </c>
      <c r="B281" s="225" t="s">
        <v>135</v>
      </c>
      <c r="C281" s="226">
        <v>292</v>
      </c>
      <c r="D281" s="225" t="s">
        <v>77</v>
      </c>
      <c r="E281" s="262" t="s">
        <v>136</v>
      </c>
      <c r="F281" s="245">
        <v>46.3</v>
      </c>
      <c r="G281" s="258">
        <v>1993</v>
      </c>
      <c r="H281" s="237">
        <f>SUM(Лист1!G82)</f>
        <v>296259.02</v>
      </c>
      <c r="I281" s="237">
        <f>SUM(Лист1!H82)</f>
        <v>123002.34</v>
      </c>
      <c r="J281" s="237">
        <f>SUM(Лист1!I82)</f>
        <v>156.54</v>
      </c>
      <c r="K281" s="261"/>
      <c r="L281" s="261"/>
      <c r="M281" s="261"/>
      <c r="N281" s="259">
        <v>457.63</v>
      </c>
      <c r="O281" s="259">
        <v>378.54</v>
      </c>
      <c r="P281" s="259">
        <v>0.47</v>
      </c>
      <c r="Q281" s="261"/>
      <c r="R281" s="231">
        <f t="shared" si="10"/>
        <v>296716.65000000002</v>
      </c>
      <c r="S281" s="231">
        <f>SUM(I281+O281-J281)</f>
        <v>123224.34</v>
      </c>
      <c r="T281" s="443">
        <f>S281-3*U281</f>
        <v>122753.31</v>
      </c>
      <c r="U281" s="445">
        <f t="shared" si="72"/>
        <v>157.01</v>
      </c>
      <c r="V281" s="443">
        <f t="shared" si="71"/>
        <v>173963.34000000003</v>
      </c>
      <c r="W281" s="231">
        <f t="shared" si="64"/>
        <v>173492.31000000003</v>
      </c>
      <c r="X281" s="231">
        <f t="shared" si="66"/>
        <v>123067.33</v>
      </c>
      <c r="Y281" s="231">
        <f t="shared" si="67"/>
        <v>157.01</v>
      </c>
      <c r="Z281" s="232">
        <f t="shared" si="68"/>
        <v>173649.32000000004</v>
      </c>
      <c r="AA281" s="22">
        <f t="shared" si="65"/>
        <v>0</v>
      </c>
      <c r="AB281" s="424">
        <f t="shared" si="69"/>
        <v>-5.2295945351943374E-12</v>
      </c>
      <c r="AC281" s="424">
        <f t="shared" si="70"/>
        <v>-2.9103830456733704E-11</v>
      </c>
    </row>
    <row r="282" spans="1:29" s="149" customFormat="1" ht="14.25" customHeight="1" x14ac:dyDescent="0.25">
      <c r="A282" s="163"/>
      <c r="B282" s="167"/>
      <c r="C282" s="146"/>
      <c r="D282" s="291" t="s">
        <v>487</v>
      </c>
      <c r="E282" s="145"/>
      <c r="F282" s="205">
        <v>46.3</v>
      </c>
      <c r="G282" s="144"/>
      <c r="H282" s="148"/>
      <c r="I282" s="148"/>
      <c r="J282" s="148"/>
      <c r="N282" s="140"/>
      <c r="O282" s="140"/>
      <c r="P282" s="140"/>
      <c r="R282" s="211"/>
      <c r="S282" s="211"/>
      <c r="T282" s="443"/>
      <c r="U282" s="445"/>
      <c r="V282" s="443"/>
      <c r="W282" s="211"/>
      <c r="X282" s="231">
        <f t="shared" si="66"/>
        <v>0</v>
      </c>
      <c r="Y282" s="231">
        <f t="shared" si="67"/>
        <v>0</v>
      </c>
      <c r="Z282" s="232">
        <f t="shared" si="68"/>
        <v>0</v>
      </c>
      <c r="AA282" s="22">
        <f t="shared" si="65"/>
        <v>0</v>
      </c>
      <c r="AB282" s="424">
        <f t="shared" si="69"/>
        <v>0</v>
      </c>
      <c r="AC282" s="424">
        <f t="shared" si="70"/>
        <v>0</v>
      </c>
    </row>
    <row r="283" spans="1:29" s="149" customFormat="1" ht="14.25" customHeight="1" x14ac:dyDescent="0.25">
      <c r="A283" s="152"/>
      <c r="B283" s="143"/>
      <c r="C283" s="154"/>
      <c r="D283" s="143"/>
      <c r="E283" s="153"/>
      <c r="F283" s="206"/>
      <c r="G283" s="156"/>
      <c r="H283" s="157"/>
      <c r="I283" s="157"/>
      <c r="J283" s="157"/>
      <c r="K283" s="171"/>
      <c r="L283" s="171"/>
      <c r="M283" s="171"/>
      <c r="N283" s="159"/>
      <c r="O283" s="159"/>
      <c r="P283" s="159"/>
      <c r="Q283" s="171"/>
      <c r="R283" s="213"/>
      <c r="S283" s="213"/>
      <c r="T283" s="443"/>
      <c r="U283" s="445"/>
      <c r="V283" s="443"/>
      <c r="W283" s="213"/>
      <c r="X283" s="231">
        <f t="shared" si="66"/>
        <v>0</v>
      </c>
      <c r="Y283" s="231">
        <f t="shared" si="67"/>
        <v>0</v>
      </c>
      <c r="Z283" s="232">
        <f t="shared" si="68"/>
        <v>0</v>
      </c>
      <c r="AA283" s="22">
        <f t="shared" si="65"/>
        <v>0</v>
      </c>
      <c r="AB283" s="424">
        <f t="shared" si="69"/>
        <v>0</v>
      </c>
      <c r="AC283" s="424">
        <f t="shared" si="70"/>
        <v>0</v>
      </c>
    </row>
    <row r="284" spans="1:29" s="287" customFormat="1" ht="14.25" customHeight="1" x14ac:dyDescent="0.25">
      <c r="A284" s="313">
        <f>SUM(A281+1)</f>
        <v>73</v>
      </c>
      <c r="B284" s="307" t="s">
        <v>137</v>
      </c>
      <c r="C284" s="348">
        <v>293</v>
      </c>
      <c r="D284" s="307" t="s">
        <v>138</v>
      </c>
      <c r="E284" s="465" t="s">
        <v>108</v>
      </c>
      <c r="F284" s="308">
        <v>25.6</v>
      </c>
      <c r="G284" s="339">
        <v>1966</v>
      </c>
      <c r="H284" s="310">
        <f>SUM(Лист1!G83)</f>
        <v>49591.93</v>
      </c>
      <c r="I284" s="310">
        <f>SUM(Лист1!H83)</f>
        <v>10163.31</v>
      </c>
      <c r="J284" s="310">
        <f>SUM(Лист1!I83)</f>
        <v>69.25</v>
      </c>
      <c r="K284" s="311"/>
      <c r="L284" s="311"/>
      <c r="M284" s="311"/>
      <c r="N284" s="319">
        <v>570.52</v>
      </c>
      <c r="O284" s="319">
        <v>413.03</v>
      </c>
      <c r="P284" s="319">
        <v>2.38</v>
      </c>
      <c r="Q284" s="311"/>
      <c r="R284" s="231">
        <f t="shared" si="10"/>
        <v>50162.45</v>
      </c>
      <c r="S284" s="231">
        <f>SUM(I284+O284-J284)</f>
        <v>10507.09</v>
      </c>
      <c r="T284" s="443">
        <f>S284-3*U284</f>
        <v>10292.200000000001</v>
      </c>
      <c r="U284" s="445">
        <f t="shared" si="72"/>
        <v>71.63</v>
      </c>
      <c r="V284" s="443">
        <f t="shared" si="71"/>
        <v>39870.25</v>
      </c>
      <c r="W284" s="312">
        <f t="shared" si="64"/>
        <v>39655.360000000001</v>
      </c>
      <c r="X284" s="231">
        <f t="shared" si="66"/>
        <v>10435.460000000001</v>
      </c>
      <c r="Y284" s="231">
        <f t="shared" si="67"/>
        <v>71.63</v>
      </c>
      <c r="Z284" s="232">
        <f t="shared" si="68"/>
        <v>39726.99</v>
      </c>
      <c r="AA284" s="22">
        <f t="shared" si="65"/>
        <v>0</v>
      </c>
      <c r="AB284" s="424">
        <f t="shared" si="69"/>
        <v>-7.9580786405131221E-13</v>
      </c>
      <c r="AC284" s="424">
        <f t="shared" si="70"/>
        <v>0</v>
      </c>
    </row>
    <row r="285" spans="1:29" s="149" customFormat="1" ht="14.25" customHeight="1" x14ac:dyDescent="0.25">
      <c r="A285" s="163"/>
      <c r="B285" s="167"/>
      <c r="C285" s="146"/>
      <c r="D285" s="291" t="s">
        <v>493</v>
      </c>
      <c r="E285" s="165"/>
      <c r="F285" s="139">
        <v>25.6</v>
      </c>
      <c r="G285" s="249"/>
      <c r="H285" s="148"/>
      <c r="I285" s="148"/>
      <c r="J285" s="148"/>
      <c r="N285" s="140"/>
      <c r="O285" s="140"/>
      <c r="P285" s="140"/>
      <c r="R285" s="211"/>
      <c r="S285" s="211"/>
      <c r="T285" s="443"/>
      <c r="U285" s="445"/>
      <c r="V285" s="443"/>
      <c r="W285" s="212"/>
      <c r="X285" s="231">
        <f t="shared" si="66"/>
        <v>0</v>
      </c>
      <c r="Y285" s="231">
        <f t="shared" si="67"/>
        <v>0</v>
      </c>
      <c r="Z285" s="232">
        <f t="shared" si="68"/>
        <v>0</v>
      </c>
      <c r="AA285" s="22">
        <f t="shared" si="65"/>
        <v>0</v>
      </c>
      <c r="AB285" s="424">
        <f t="shared" si="69"/>
        <v>0</v>
      </c>
      <c r="AC285" s="424">
        <f t="shared" si="70"/>
        <v>0</v>
      </c>
    </row>
    <row r="286" spans="1:29" s="149" customFormat="1" ht="14.25" customHeight="1" x14ac:dyDescent="0.25">
      <c r="A286" s="152"/>
      <c r="B286" s="143"/>
      <c r="C286" s="154"/>
      <c r="D286" s="143"/>
      <c r="E286" s="166"/>
      <c r="F286" s="158"/>
      <c r="G286" s="142"/>
      <c r="H286" s="157"/>
      <c r="I286" s="157"/>
      <c r="J286" s="157"/>
      <c r="K286" s="171"/>
      <c r="L286" s="171"/>
      <c r="M286" s="171"/>
      <c r="N286" s="159"/>
      <c r="O286" s="159"/>
      <c r="P286" s="159"/>
      <c r="Q286" s="171"/>
      <c r="R286" s="213"/>
      <c r="S286" s="213"/>
      <c r="T286" s="443"/>
      <c r="U286" s="445"/>
      <c r="V286" s="443"/>
      <c r="W286" s="214"/>
      <c r="X286" s="231">
        <f t="shared" si="66"/>
        <v>0</v>
      </c>
      <c r="Y286" s="231">
        <f t="shared" si="67"/>
        <v>0</v>
      </c>
      <c r="Z286" s="232">
        <f t="shared" si="68"/>
        <v>0</v>
      </c>
      <c r="AA286" s="22">
        <f t="shared" si="65"/>
        <v>0</v>
      </c>
      <c r="AB286" s="424">
        <f t="shared" si="69"/>
        <v>0</v>
      </c>
      <c r="AC286" s="424">
        <f t="shared" si="70"/>
        <v>0</v>
      </c>
    </row>
    <row r="287" spans="1:29" s="257" customFormat="1" ht="14.25" customHeight="1" x14ac:dyDescent="0.25">
      <c r="A287" s="224">
        <f>SUM(A284+1)</f>
        <v>74</v>
      </c>
      <c r="B287" s="225" t="s">
        <v>139</v>
      </c>
      <c r="C287" s="226">
        <v>294</v>
      </c>
      <c r="D287" s="225" t="s">
        <v>99</v>
      </c>
      <c r="E287" s="454">
        <v>9</v>
      </c>
      <c r="F287" s="252">
        <v>34.799999999999997</v>
      </c>
      <c r="G287" s="248">
        <v>1939</v>
      </c>
      <c r="H287" s="237">
        <f>SUM(Лист1!G84)</f>
        <v>74983.850000000006</v>
      </c>
      <c r="I287" s="237">
        <f>SUM(Лист1!H84)</f>
        <v>16826.29</v>
      </c>
      <c r="J287" s="237">
        <f>SUM(Лист1!I84)</f>
        <v>67.95</v>
      </c>
      <c r="K287" s="261"/>
      <c r="L287" s="261"/>
      <c r="M287" s="261"/>
      <c r="N287" s="261"/>
      <c r="O287" s="261"/>
      <c r="P287" s="261"/>
      <c r="Q287" s="261"/>
      <c r="R287" s="231">
        <f t="shared" ref="R287:R540" si="73">SUM(H287+N287)</f>
        <v>74983.850000000006</v>
      </c>
      <c r="S287" s="231">
        <f>SUM(I287+O287-J287)</f>
        <v>16758.34</v>
      </c>
      <c r="T287" s="443">
        <f>S287-3*U287</f>
        <v>16554.490000000002</v>
      </c>
      <c r="U287" s="445">
        <f t="shared" si="72"/>
        <v>67.95</v>
      </c>
      <c r="V287" s="443">
        <f t="shared" si="71"/>
        <v>58429.36</v>
      </c>
      <c r="W287" s="238">
        <f t="shared" si="64"/>
        <v>58225.510000000009</v>
      </c>
      <c r="X287" s="231">
        <f t="shared" si="66"/>
        <v>16690.39</v>
      </c>
      <c r="Y287" s="231">
        <f t="shared" si="67"/>
        <v>67.95</v>
      </c>
      <c r="Z287" s="232">
        <f t="shared" si="68"/>
        <v>58293.460000000006</v>
      </c>
      <c r="AA287" s="22">
        <f t="shared" si="65"/>
        <v>0</v>
      </c>
      <c r="AB287" s="424">
        <f t="shared" si="69"/>
        <v>7.2475359047530219E-13</v>
      </c>
      <c r="AC287" s="424">
        <f t="shared" si="70"/>
        <v>0</v>
      </c>
    </row>
    <row r="288" spans="1:29" s="149" customFormat="1" ht="14.25" customHeight="1" x14ac:dyDescent="0.25">
      <c r="A288" s="163"/>
      <c r="B288" s="167"/>
      <c r="C288" s="146"/>
      <c r="D288" s="291" t="s">
        <v>482</v>
      </c>
      <c r="E288" s="169"/>
      <c r="F288" s="139">
        <v>34.799999999999997</v>
      </c>
      <c r="G288" s="249"/>
      <c r="H288" s="148"/>
      <c r="I288" s="148"/>
      <c r="J288" s="148"/>
      <c r="R288" s="211"/>
      <c r="S288" s="211"/>
      <c r="T288" s="443"/>
      <c r="U288" s="445"/>
      <c r="V288" s="443"/>
      <c r="W288" s="212"/>
      <c r="X288" s="231">
        <f t="shared" si="66"/>
        <v>0</v>
      </c>
      <c r="Y288" s="231">
        <f t="shared" si="67"/>
        <v>0</v>
      </c>
      <c r="Z288" s="232">
        <f t="shared" si="68"/>
        <v>0</v>
      </c>
      <c r="AA288" s="22">
        <f t="shared" si="65"/>
        <v>0</v>
      </c>
      <c r="AB288" s="424">
        <f t="shared" si="69"/>
        <v>0</v>
      </c>
      <c r="AC288" s="424">
        <f t="shared" si="70"/>
        <v>0</v>
      </c>
    </row>
    <row r="289" spans="1:29" s="149" customFormat="1" ht="14.25" customHeight="1" x14ac:dyDescent="0.25">
      <c r="A289" s="152"/>
      <c r="B289" s="143"/>
      <c r="C289" s="154"/>
      <c r="D289" s="143"/>
      <c r="E289" s="170"/>
      <c r="F289" s="158"/>
      <c r="G289" s="142"/>
      <c r="H289" s="157"/>
      <c r="I289" s="157"/>
      <c r="J289" s="157"/>
      <c r="K289" s="171"/>
      <c r="L289" s="171"/>
      <c r="M289" s="171"/>
      <c r="N289" s="171"/>
      <c r="O289" s="171"/>
      <c r="P289" s="171"/>
      <c r="Q289" s="171"/>
      <c r="R289" s="213"/>
      <c r="S289" s="213"/>
      <c r="T289" s="443"/>
      <c r="U289" s="445"/>
      <c r="V289" s="443"/>
      <c r="W289" s="214"/>
      <c r="X289" s="231">
        <f t="shared" si="66"/>
        <v>0</v>
      </c>
      <c r="Y289" s="231">
        <f t="shared" si="67"/>
        <v>0</v>
      </c>
      <c r="Z289" s="232">
        <f t="shared" si="68"/>
        <v>0</v>
      </c>
      <c r="AA289" s="22">
        <f t="shared" si="65"/>
        <v>0</v>
      </c>
      <c r="AB289" s="424">
        <f t="shared" si="69"/>
        <v>0</v>
      </c>
      <c r="AC289" s="424">
        <f t="shared" si="70"/>
        <v>0</v>
      </c>
    </row>
    <row r="290" spans="1:29" s="257" customFormat="1" ht="14.25" customHeight="1" x14ac:dyDescent="0.25">
      <c r="A290" s="224">
        <f>A287+1</f>
        <v>75</v>
      </c>
      <c r="B290" s="225" t="s">
        <v>141</v>
      </c>
      <c r="C290" s="226">
        <v>301</v>
      </c>
      <c r="D290" s="225" t="s">
        <v>104</v>
      </c>
      <c r="E290" s="454">
        <v>15</v>
      </c>
      <c r="F290" s="252">
        <f>F292+F293</f>
        <v>111.86</v>
      </c>
      <c r="G290" s="248">
        <v>1989</v>
      </c>
      <c r="H290" s="237">
        <f>SUM(Лист1!G86)</f>
        <v>400479.53</v>
      </c>
      <c r="I290" s="237">
        <f>SUM(Лист1!H86)</f>
        <v>169623.74</v>
      </c>
      <c r="J290" s="237">
        <f>SUM(Лист1!I86)</f>
        <v>206.85</v>
      </c>
      <c r="K290" s="261"/>
      <c r="L290" s="261"/>
      <c r="M290" s="261"/>
      <c r="N290" s="252">
        <v>2834.09</v>
      </c>
      <c r="O290" s="252">
        <v>1092.93</v>
      </c>
      <c r="P290" s="259">
        <v>7.25</v>
      </c>
      <c r="Q290" s="261"/>
      <c r="R290" s="231">
        <f t="shared" ref="R290" si="74">SUM(H290+N290)</f>
        <v>403313.62000000005</v>
      </c>
      <c r="S290" s="231">
        <f>SUM(I290+O290-J290)</f>
        <v>170509.81999999998</v>
      </c>
      <c r="T290" s="443">
        <f>S290-3*U290</f>
        <v>169867.51999999999</v>
      </c>
      <c r="U290" s="445">
        <f t="shared" si="72"/>
        <v>214.1</v>
      </c>
      <c r="V290" s="443">
        <f t="shared" si="71"/>
        <v>233446.10000000006</v>
      </c>
      <c r="W290" s="238">
        <f t="shared" si="64"/>
        <v>232803.80000000008</v>
      </c>
      <c r="X290" s="231">
        <f t="shared" si="66"/>
        <v>170295.71999999997</v>
      </c>
      <c r="Y290" s="231">
        <f t="shared" si="67"/>
        <v>214.1</v>
      </c>
      <c r="Z290" s="232">
        <f t="shared" si="68"/>
        <v>233017.90000000008</v>
      </c>
      <c r="AA290" s="22">
        <f t="shared" si="65"/>
        <v>0</v>
      </c>
      <c r="AB290" s="424">
        <f t="shared" si="69"/>
        <v>5.8264504332328215E-12</v>
      </c>
      <c r="AC290" s="424">
        <f t="shared" si="70"/>
        <v>0</v>
      </c>
    </row>
    <row r="291" spans="1:29" s="269" customFormat="1" ht="14.25" customHeight="1" x14ac:dyDescent="0.25">
      <c r="A291" s="272"/>
      <c r="B291" s="276"/>
      <c r="C291" s="266"/>
      <c r="D291" s="296" t="s">
        <v>518</v>
      </c>
      <c r="E291" s="457"/>
      <c r="F291" s="268"/>
      <c r="G291" s="278"/>
      <c r="H291" s="151"/>
      <c r="I291" s="151"/>
      <c r="J291" s="151"/>
      <c r="N291" s="268"/>
      <c r="O291" s="268"/>
      <c r="P291" s="315"/>
      <c r="R291" s="274"/>
      <c r="S291" s="274"/>
      <c r="T291" s="443"/>
      <c r="U291" s="445"/>
      <c r="V291" s="443"/>
      <c r="W291" s="295"/>
      <c r="X291" s="231">
        <f t="shared" si="66"/>
        <v>0</v>
      </c>
      <c r="Y291" s="231">
        <f t="shared" si="67"/>
        <v>0</v>
      </c>
      <c r="Z291" s="232">
        <f t="shared" si="68"/>
        <v>0</v>
      </c>
      <c r="AA291" s="22">
        <f t="shared" si="65"/>
        <v>0</v>
      </c>
      <c r="AB291" s="424">
        <f t="shared" si="69"/>
        <v>0</v>
      </c>
      <c r="AC291" s="424">
        <f t="shared" si="70"/>
        <v>0</v>
      </c>
    </row>
    <row r="292" spans="1:29" s="269" customFormat="1" ht="14.25" customHeight="1" x14ac:dyDescent="0.25">
      <c r="A292" s="272"/>
      <c r="B292" s="276"/>
      <c r="C292" s="266"/>
      <c r="D292" s="478" t="s">
        <v>521</v>
      </c>
      <c r="E292" s="457"/>
      <c r="F292" s="268">
        <v>49.26</v>
      </c>
      <c r="G292" s="278"/>
      <c r="H292" s="151"/>
      <c r="I292" s="151"/>
      <c r="J292" s="151"/>
      <c r="N292" s="268"/>
      <c r="O292" s="268"/>
      <c r="P292" s="315"/>
      <c r="R292" s="274">
        <f>$R$290/$F$290*F292</f>
        <v>177607.98248882534</v>
      </c>
      <c r="S292" s="274">
        <f>S290/F290*F292</f>
        <v>75087.732283211139</v>
      </c>
      <c r="T292" s="443">
        <f>$T$290/$F$290*F292</f>
        <v>74804.881416055781</v>
      </c>
      <c r="U292" s="445"/>
      <c r="V292" s="443">
        <f t="shared" si="71"/>
        <v>102803.10107276955</v>
      </c>
      <c r="W292" s="295">
        <f>W290/F290*F292</f>
        <v>102520.2502056142</v>
      </c>
      <c r="X292" s="231">
        <f t="shared" si="66"/>
        <v>75087.732283211139</v>
      </c>
      <c r="Y292" s="231">
        <f t="shared" si="67"/>
        <v>0</v>
      </c>
      <c r="Z292" s="232">
        <f t="shared" si="68"/>
        <v>102520.2502056142</v>
      </c>
      <c r="AA292" s="22">
        <f t="shared" si="65"/>
        <v>0</v>
      </c>
      <c r="AB292" s="424">
        <f t="shared" si="69"/>
        <v>0</v>
      </c>
      <c r="AC292" s="424">
        <f t="shared" si="70"/>
        <v>0</v>
      </c>
    </row>
    <row r="293" spans="1:29" s="269" customFormat="1" ht="14.25" customHeight="1" x14ac:dyDescent="0.25">
      <c r="A293" s="272"/>
      <c r="B293" s="276"/>
      <c r="C293" s="266"/>
      <c r="D293" s="478" t="s">
        <v>545</v>
      </c>
      <c r="E293" s="457"/>
      <c r="F293" s="268">
        <v>62.6</v>
      </c>
      <c r="G293" s="278"/>
      <c r="H293" s="151"/>
      <c r="I293" s="151"/>
      <c r="J293" s="151"/>
      <c r="N293" s="268"/>
      <c r="O293" s="268"/>
      <c r="P293" s="315"/>
      <c r="R293" s="274">
        <f>$R$290/$F$290*F293</f>
        <v>225705.63751117472</v>
      </c>
      <c r="S293" s="274">
        <f>S290/F290*F293</f>
        <v>95422.087716788839</v>
      </c>
      <c r="T293" s="443">
        <f>$T$290/$F$290*F293</f>
        <v>95062.638583944223</v>
      </c>
      <c r="U293" s="445"/>
      <c r="V293" s="443">
        <f t="shared" si="71"/>
        <v>130642.9989272305</v>
      </c>
      <c r="W293" s="295">
        <f>W290/F290*F293</f>
        <v>130283.54979438589</v>
      </c>
      <c r="X293" s="231">
        <f t="shared" si="66"/>
        <v>95422.087716788839</v>
      </c>
      <c r="Y293" s="231">
        <f t="shared" si="67"/>
        <v>0</v>
      </c>
      <c r="Z293" s="232">
        <f t="shared" si="68"/>
        <v>130283.54979438589</v>
      </c>
      <c r="AA293" s="22">
        <f t="shared" si="65"/>
        <v>0</v>
      </c>
      <c r="AB293" s="424">
        <f t="shared" si="69"/>
        <v>0</v>
      </c>
      <c r="AC293" s="424">
        <f t="shared" si="70"/>
        <v>-1.4551915228366852E-11</v>
      </c>
    </row>
    <row r="294" spans="1:29" s="149" customFormat="1" ht="14.25" customHeight="1" x14ac:dyDescent="0.25">
      <c r="A294" s="152"/>
      <c r="B294" s="143"/>
      <c r="C294" s="154"/>
      <c r="D294" s="143"/>
      <c r="E294" s="170"/>
      <c r="F294" s="158"/>
      <c r="G294" s="142"/>
      <c r="H294" s="157"/>
      <c r="I294" s="157"/>
      <c r="J294" s="157"/>
      <c r="K294" s="171"/>
      <c r="L294" s="171"/>
      <c r="M294" s="171"/>
      <c r="N294" s="158"/>
      <c r="O294" s="158"/>
      <c r="P294" s="159"/>
      <c r="Q294" s="171"/>
      <c r="R294" s="213"/>
      <c r="S294" s="213"/>
      <c r="T294" s="443"/>
      <c r="U294" s="445"/>
      <c r="V294" s="443"/>
      <c r="W294" s="214"/>
      <c r="X294" s="231">
        <f t="shared" si="66"/>
        <v>0</v>
      </c>
      <c r="Y294" s="231">
        <f t="shared" si="67"/>
        <v>0</v>
      </c>
      <c r="Z294" s="232">
        <f t="shared" si="68"/>
        <v>0</v>
      </c>
      <c r="AA294" s="22">
        <f t="shared" si="65"/>
        <v>0</v>
      </c>
      <c r="AB294" s="424">
        <f t="shared" si="69"/>
        <v>0</v>
      </c>
      <c r="AC294" s="424">
        <f t="shared" si="70"/>
        <v>0</v>
      </c>
    </row>
    <row r="295" spans="1:29" s="257" customFormat="1" ht="14.25" customHeight="1" x14ac:dyDescent="0.25">
      <c r="A295" s="224">
        <f>SUM(A290+1)</f>
        <v>76</v>
      </c>
      <c r="B295" s="225" t="s">
        <v>142</v>
      </c>
      <c r="C295" s="226">
        <v>302</v>
      </c>
      <c r="D295" s="225" t="s">
        <v>143</v>
      </c>
      <c r="E295" s="454">
        <v>19</v>
      </c>
      <c r="F295" s="252">
        <v>68.53</v>
      </c>
      <c r="G295" s="248">
        <v>1900</v>
      </c>
      <c r="H295" s="237">
        <f>SUM(Лист1!G87)</f>
        <v>118531.94</v>
      </c>
      <c r="I295" s="237">
        <f>SUM(Лист1!H87)</f>
        <v>14461.49</v>
      </c>
      <c r="J295" s="237">
        <f>SUM(Лист1!I87)</f>
        <v>93.93</v>
      </c>
      <c r="K295" s="261"/>
      <c r="L295" s="261"/>
      <c r="M295" s="261"/>
      <c r="N295" s="261"/>
      <c r="O295" s="261"/>
      <c r="P295" s="261"/>
      <c r="Q295" s="261"/>
      <c r="R295" s="231">
        <f t="shared" si="73"/>
        <v>118531.94</v>
      </c>
      <c r="S295" s="231">
        <f>SUM(I295+O295-J295)</f>
        <v>14367.56</v>
      </c>
      <c r="T295" s="443">
        <f>S295-3*U295</f>
        <v>14085.769999999999</v>
      </c>
      <c r="U295" s="445">
        <f t="shared" si="72"/>
        <v>93.93</v>
      </c>
      <c r="V295" s="443">
        <f t="shared" si="71"/>
        <v>104446.17</v>
      </c>
      <c r="W295" s="238">
        <f t="shared" si="64"/>
        <v>104164.38</v>
      </c>
      <c r="X295" s="231">
        <f t="shared" si="66"/>
        <v>14273.63</v>
      </c>
      <c r="Y295" s="231">
        <f t="shared" si="67"/>
        <v>93.93</v>
      </c>
      <c r="Z295" s="232">
        <f t="shared" si="68"/>
        <v>104258.31</v>
      </c>
      <c r="AA295" s="22">
        <f t="shared" si="65"/>
        <v>0</v>
      </c>
      <c r="AB295" s="424">
        <f t="shared" si="69"/>
        <v>2.8421709430404007E-13</v>
      </c>
      <c r="AC295" s="424">
        <f t="shared" si="70"/>
        <v>0</v>
      </c>
    </row>
    <row r="296" spans="1:29" s="149" customFormat="1" ht="14.25" customHeight="1" x14ac:dyDescent="0.25">
      <c r="A296" s="163"/>
      <c r="B296" s="167"/>
      <c r="C296" s="146"/>
      <c r="D296" s="291" t="s">
        <v>518</v>
      </c>
      <c r="E296" s="169"/>
      <c r="F296" s="139"/>
      <c r="G296" s="249"/>
      <c r="H296" s="148"/>
      <c r="I296" s="148"/>
      <c r="J296" s="148"/>
      <c r="R296" s="211"/>
      <c r="S296" s="211"/>
      <c r="T296" s="443"/>
      <c r="U296" s="445"/>
      <c r="V296" s="443"/>
      <c r="W296" s="212"/>
      <c r="X296" s="231">
        <f t="shared" si="66"/>
        <v>0</v>
      </c>
      <c r="Y296" s="231">
        <f t="shared" si="67"/>
        <v>0</v>
      </c>
      <c r="Z296" s="232">
        <f t="shared" si="68"/>
        <v>0</v>
      </c>
      <c r="AA296" s="22">
        <f t="shared" si="65"/>
        <v>0</v>
      </c>
      <c r="AB296" s="424">
        <f t="shared" si="69"/>
        <v>0</v>
      </c>
      <c r="AC296" s="424">
        <f t="shared" si="70"/>
        <v>0</v>
      </c>
    </row>
    <row r="297" spans="1:29" s="149" customFormat="1" ht="14.25" customHeight="1" x14ac:dyDescent="0.25">
      <c r="A297" s="163"/>
      <c r="B297" s="167"/>
      <c r="C297" s="146"/>
      <c r="D297" s="480" t="s">
        <v>531</v>
      </c>
      <c r="E297" s="169"/>
      <c r="F297" s="139">
        <v>18.04</v>
      </c>
      <c r="G297" s="249"/>
      <c r="H297" s="148"/>
      <c r="I297" s="148"/>
      <c r="J297" s="148"/>
      <c r="R297" s="211">
        <f>$R$295/$F$295*F297</f>
        <v>31202.629470304975</v>
      </c>
      <c r="S297" s="211">
        <f>S295/F295*F297</f>
        <v>3782.1506260032097</v>
      </c>
      <c r="T297" s="443">
        <f>$T$295/$F$295*F297</f>
        <v>3707.9715569823429</v>
      </c>
      <c r="U297" s="445"/>
      <c r="V297" s="443">
        <f t="shared" si="71"/>
        <v>27494.657913322633</v>
      </c>
      <c r="W297" s="212">
        <f>W295/F295*F297</f>
        <v>27420.478844301768</v>
      </c>
      <c r="X297" s="231">
        <f t="shared" si="66"/>
        <v>3782.1506260032097</v>
      </c>
      <c r="Y297" s="231">
        <f t="shared" si="67"/>
        <v>0</v>
      </c>
      <c r="Z297" s="232">
        <f t="shared" si="68"/>
        <v>27420.478844301768</v>
      </c>
      <c r="AA297" s="22">
        <f t="shared" si="65"/>
        <v>0</v>
      </c>
      <c r="AB297" s="424">
        <f t="shared" si="69"/>
        <v>0</v>
      </c>
      <c r="AC297" s="424">
        <f t="shared" si="70"/>
        <v>-3.637978807091713E-12</v>
      </c>
    </row>
    <row r="298" spans="1:29" s="149" customFormat="1" ht="14.25" customHeight="1" x14ac:dyDescent="0.25">
      <c r="A298" s="163"/>
      <c r="B298" s="167"/>
      <c r="C298" s="146"/>
      <c r="D298" s="480" t="s">
        <v>523</v>
      </c>
      <c r="E298" s="169"/>
      <c r="F298" s="139">
        <v>50.49</v>
      </c>
      <c r="G298" s="249"/>
      <c r="H298" s="148"/>
      <c r="I298" s="148"/>
      <c r="J298" s="148"/>
      <c r="R298" s="211">
        <f>$R$295/$F$295*F298</f>
        <v>87329.310529695023</v>
      </c>
      <c r="S298" s="211">
        <f>S295/F295*F298</f>
        <v>10585.409373996788</v>
      </c>
      <c r="T298" s="443">
        <f>$T$295/$F$295*F298</f>
        <v>10377.798443017657</v>
      </c>
      <c r="U298" s="445"/>
      <c r="V298" s="443">
        <f t="shared" si="71"/>
        <v>76951.512086677365</v>
      </c>
      <c r="W298" s="212">
        <f>W295/F295*F298</f>
        <v>76743.901155698244</v>
      </c>
      <c r="X298" s="231">
        <f t="shared" si="66"/>
        <v>10585.409373996788</v>
      </c>
      <c r="Y298" s="231">
        <f t="shared" si="67"/>
        <v>0</v>
      </c>
      <c r="Z298" s="232">
        <f t="shared" si="68"/>
        <v>76743.901155698244</v>
      </c>
      <c r="AA298" s="22">
        <f t="shared" si="65"/>
        <v>0</v>
      </c>
      <c r="AB298" s="424">
        <f t="shared" si="69"/>
        <v>0</v>
      </c>
      <c r="AC298" s="424">
        <f t="shared" si="70"/>
        <v>-1.4551915228366852E-11</v>
      </c>
    </row>
    <row r="299" spans="1:29" s="149" customFormat="1" ht="14.25" customHeight="1" x14ac:dyDescent="0.25">
      <c r="A299" s="152"/>
      <c r="B299" s="143"/>
      <c r="C299" s="154"/>
      <c r="D299" s="143"/>
      <c r="E299" s="170"/>
      <c r="F299" s="158"/>
      <c r="G299" s="142"/>
      <c r="H299" s="157"/>
      <c r="I299" s="157"/>
      <c r="J299" s="157"/>
      <c r="K299" s="171"/>
      <c r="L299" s="171"/>
      <c r="M299" s="171"/>
      <c r="N299" s="171"/>
      <c r="O299" s="171"/>
      <c r="P299" s="171"/>
      <c r="Q299" s="171"/>
      <c r="R299" s="213"/>
      <c r="S299" s="213"/>
      <c r="T299" s="443"/>
      <c r="U299" s="445"/>
      <c r="V299" s="443"/>
      <c r="W299" s="214"/>
      <c r="X299" s="231">
        <f t="shared" si="66"/>
        <v>0</v>
      </c>
      <c r="Y299" s="231">
        <f t="shared" si="67"/>
        <v>0</v>
      </c>
      <c r="Z299" s="232">
        <f t="shared" si="68"/>
        <v>0</v>
      </c>
      <c r="AA299" s="22">
        <f t="shared" si="65"/>
        <v>0</v>
      </c>
      <c r="AB299" s="424">
        <f t="shared" si="69"/>
        <v>0</v>
      </c>
      <c r="AC299" s="424">
        <f t="shared" si="70"/>
        <v>0</v>
      </c>
    </row>
    <row r="300" spans="1:29" s="257" customFormat="1" ht="14.25" customHeight="1" x14ac:dyDescent="0.25">
      <c r="A300" s="224">
        <f>SUM(A295+1)</f>
        <v>77</v>
      </c>
      <c r="B300" s="225" t="s">
        <v>144</v>
      </c>
      <c r="C300" s="226">
        <v>305</v>
      </c>
      <c r="D300" s="225" t="s">
        <v>145</v>
      </c>
      <c r="E300" s="454">
        <v>10</v>
      </c>
      <c r="F300" s="252">
        <v>33.729999999999997</v>
      </c>
      <c r="G300" s="248">
        <v>1900</v>
      </c>
      <c r="H300" s="237">
        <f>SUM(Лист1!G88)</f>
        <v>80008.67</v>
      </c>
      <c r="I300" s="237">
        <f>SUM(Лист1!H88)</f>
        <v>13194.08</v>
      </c>
      <c r="J300" s="237">
        <f>SUM(Лист1!I88)</f>
        <v>85.46</v>
      </c>
      <c r="K300" s="261"/>
      <c r="L300" s="261"/>
      <c r="M300" s="261"/>
      <c r="N300" s="261"/>
      <c r="O300" s="261"/>
      <c r="P300" s="261"/>
      <c r="Q300" s="261"/>
      <c r="R300" s="231">
        <f t="shared" si="73"/>
        <v>80008.67</v>
      </c>
      <c r="S300" s="231">
        <f>SUM(I300+O300-J300)</f>
        <v>13108.62</v>
      </c>
      <c r="T300" s="443">
        <f>S300-3*U300</f>
        <v>12852.240000000002</v>
      </c>
      <c r="U300" s="445">
        <f t="shared" si="72"/>
        <v>85.46</v>
      </c>
      <c r="V300" s="443">
        <f t="shared" si="71"/>
        <v>67156.429999999993</v>
      </c>
      <c r="W300" s="238">
        <f t="shared" si="64"/>
        <v>66900.05</v>
      </c>
      <c r="X300" s="231">
        <f t="shared" si="66"/>
        <v>13023.160000000002</v>
      </c>
      <c r="Y300" s="231">
        <f t="shared" si="67"/>
        <v>85.46</v>
      </c>
      <c r="Z300" s="232">
        <f t="shared" si="68"/>
        <v>66985.510000000009</v>
      </c>
      <c r="AA300" s="22">
        <f t="shared" si="65"/>
        <v>0</v>
      </c>
      <c r="AB300" s="424">
        <f t="shared" si="69"/>
        <v>-8.6686213762732223E-13</v>
      </c>
      <c r="AC300" s="424">
        <f t="shared" si="70"/>
        <v>-1.4551915228366852E-11</v>
      </c>
    </row>
    <row r="301" spans="1:29" s="149" customFormat="1" ht="14.25" customHeight="1" x14ac:dyDescent="0.25">
      <c r="A301" s="152"/>
      <c r="B301" s="143"/>
      <c r="C301" s="154"/>
      <c r="D301" s="143"/>
      <c r="E301" s="170"/>
      <c r="F301" s="158"/>
      <c r="G301" s="142"/>
      <c r="H301" s="157"/>
      <c r="I301" s="157"/>
      <c r="J301" s="157"/>
      <c r="K301" s="171"/>
      <c r="L301" s="171"/>
      <c r="M301" s="171"/>
      <c r="N301" s="171"/>
      <c r="O301" s="171"/>
      <c r="P301" s="171"/>
      <c r="Q301" s="171"/>
      <c r="R301" s="213"/>
      <c r="S301" s="213"/>
      <c r="T301" s="443"/>
      <c r="U301" s="445"/>
      <c r="V301" s="443"/>
      <c r="W301" s="214"/>
      <c r="X301" s="231">
        <f t="shared" si="66"/>
        <v>0</v>
      </c>
      <c r="Y301" s="231">
        <f t="shared" si="67"/>
        <v>0</v>
      </c>
      <c r="Z301" s="232">
        <f t="shared" si="68"/>
        <v>0</v>
      </c>
      <c r="AA301" s="22">
        <f t="shared" si="65"/>
        <v>0</v>
      </c>
      <c r="AB301" s="424">
        <f t="shared" si="69"/>
        <v>0</v>
      </c>
      <c r="AC301" s="424">
        <f t="shared" si="70"/>
        <v>0</v>
      </c>
    </row>
    <row r="302" spans="1:29" s="257" customFormat="1" ht="14.25" customHeight="1" x14ac:dyDescent="0.25">
      <c r="A302" s="224">
        <f>SUM(A300+1)</f>
        <v>78</v>
      </c>
      <c r="B302" s="225" t="s">
        <v>146</v>
      </c>
      <c r="C302" s="226">
        <v>310</v>
      </c>
      <c r="D302" s="225" t="s">
        <v>120</v>
      </c>
      <c r="E302" s="260" t="s">
        <v>147</v>
      </c>
      <c r="F302" s="252">
        <v>72.150000000000006</v>
      </c>
      <c r="G302" s="248">
        <v>1981</v>
      </c>
      <c r="H302" s="237">
        <f>SUM(Лист1!G89)</f>
        <v>118502.19</v>
      </c>
      <c r="I302" s="237">
        <f>SUM(Лист1!H89)</f>
        <v>35687.22</v>
      </c>
      <c r="J302" s="237">
        <f>SUM(Лист1!I89)</f>
        <v>49.77</v>
      </c>
      <c r="K302" s="261"/>
      <c r="L302" s="261"/>
      <c r="M302" s="261"/>
      <c r="N302" s="259">
        <v>567.87</v>
      </c>
      <c r="O302" s="259">
        <v>511.66</v>
      </c>
      <c r="P302" s="259">
        <v>0.68</v>
      </c>
      <c r="Q302" s="261"/>
      <c r="R302" s="231">
        <f t="shared" ref="R302" si="75">SUM(H302+N302)</f>
        <v>119070.06</v>
      </c>
      <c r="S302" s="231">
        <f>SUM(I302+O302-J302)</f>
        <v>36149.110000000008</v>
      </c>
      <c r="T302" s="443">
        <f>S302-3*U302</f>
        <v>35997.760000000009</v>
      </c>
      <c r="U302" s="445">
        <f t="shared" si="72"/>
        <v>50.45</v>
      </c>
      <c r="V302" s="443">
        <f t="shared" si="71"/>
        <v>83072.299999999988</v>
      </c>
      <c r="W302" s="238">
        <f t="shared" si="64"/>
        <v>82920.949999999983</v>
      </c>
      <c r="X302" s="231">
        <f t="shared" si="66"/>
        <v>36098.660000000011</v>
      </c>
      <c r="Y302" s="231">
        <f t="shared" si="67"/>
        <v>50.45</v>
      </c>
      <c r="Z302" s="232">
        <f t="shared" si="68"/>
        <v>82971.39999999998</v>
      </c>
      <c r="AA302" s="22">
        <f t="shared" si="65"/>
        <v>0</v>
      </c>
      <c r="AB302" s="424">
        <f t="shared" si="69"/>
        <v>-2.9132252166164108E-12</v>
      </c>
      <c r="AC302" s="424">
        <f t="shared" si="70"/>
        <v>1.4551915228366852E-11</v>
      </c>
    </row>
    <row r="303" spans="1:29" s="149" customFormat="1" ht="14.25" customHeight="1" x14ac:dyDescent="0.25">
      <c r="A303" s="163"/>
      <c r="B303" s="167"/>
      <c r="C303" s="146"/>
      <c r="D303" s="291" t="s">
        <v>518</v>
      </c>
      <c r="E303" s="165"/>
      <c r="F303" s="139"/>
      <c r="G303" s="249"/>
      <c r="H303" s="148"/>
      <c r="I303" s="148"/>
      <c r="J303" s="148"/>
      <c r="N303" s="140"/>
      <c r="O303" s="140"/>
      <c r="P303" s="140"/>
      <c r="R303" s="211"/>
      <c r="S303" s="211"/>
      <c r="T303" s="443"/>
      <c r="U303" s="445"/>
      <c r="V303" s="443"/>
      <c r="W303" s="212"/>
      <c r="X303" s="231">
        <f t="shared" si="66"/>
        <v>0</v>
      </c>
      <c r="Y303" s="231">
        <f t="shared" si="67"/>
        <v>0</v>
      </c>
      <c r="Z303" s="232">
        <f t="shared" si="68"/>
        <v>0</v>
      </c>
      <c r="AA303" s="22">
        <f t="shared" si="65"/>
        <v>0</v>
      </c>
      <c r="AB303" s="424">
        <f t="shared" si="69"/>
        <v>0</v>
      </c>
      <c r="AC303" s="424">
        <f t="shared" si="70"/>
        <v>0</v>
      </c>
    </row>
    <row r="304" spans="1:29" s="149" customFormat="1" ht="14.25" customHeight="1" x14ac:dyDescent="0.25">
      <c r="A304" s="163"/>
      <c r="B304" s="167"/>
      <c r="C304" s="146"/>
      <c r="D304" s="480" t="s">
        <v>546</v>
      </c>
      <c r="E304" s="165"/>
      <c r="F304" s="139">
        <v>43</v>
      </c>
      <c r="G304" s="249"/>
      <c r="H304" s="148"/>
      <c r="I304" s="148"/>
      <c r="J304" s="148"/>
      <c r="N304" s="140"/>
      <c r="O304" s="140"/>
      <c r="P304" s="140"/>
      <c r="R304" s="211">
        <f>$R$302/$F$302*F304</f>
        <v>70963.445322245316</v>
      </c>
      <c r="S304" s="211">
        <f>S302/F302*F304</f>
        <v>21544.168121968123</v>
      </c>
      <c r="T304" s="443">
        <f>$T$302/$F$302*F304</f>
        <v>21453.966458766463</v>
      </c>
      <c r="U304" s="445"/>
      <c r="V304" s="443">
        <f t="shared" si="71"/>
        <v>49509.478863478857</v>
      </c>
      <c r="W304" s="212">
        <f>W302/F302*F304</f>
        <v>49419.277200277189</v>
      </c>
      <c r="X304" s="231">
        <f t="shared" si="66"/>
        <v>21544.168121968123</v>
      </c>
      <c r="Y304" s="231">
        <f t="shared" si="67"/>
        <v>0</v>
      </c>
      <c r="Z304" s="232">
        <f t="shared" si="68"/>
        <v>49419.277200277189</v>
      </c>
      <c r="AA304" s="22">
        <f t="shared" si="65"/>
        <v>0</v>
      </c>
      <c r="AB304" s="424">
        <f t="shared" si="69"/>
        <v>0</v>
      </c>
      <c r="AC304" s="424">
        <f t="shared" si="70"/>
        <v>7.2759576141834259E-12</v>
      </c>
    </row>
    <row r="305" spans="1:29" s="149" customFormat="1" ht="14.25" customHeight="1" x14ac:dyDescent="0.25">
      <c r="A305" s="163"/>
      <c r="B305" s="167"/>
      <c r="C305" s="146"/>
      <c r="D305" s="480" t="s">
        <v>547</v>
      </c>
      <c r="E305" s="165"/>
      <c r="F305" s="139">
        <v>29.15</v>
      </c>
      <c r="G305" s="249"/>
      <c r="H305" s="148"/>
      <c r="I305" s="148"/>
      <c r="J305" s="148"/>
      <c r="N305" s="140"/>
      <c r="O305" s="140"/>
      <c r="P305" s="140"/>
      <c r="R305" s="211">
        <f>$R$302/$F$302*F305</f>
        <v>48106.614677754667</v>
      </c>
      <c r="S305" s="211">
        <f>S302/F302*F305</f>
        <v>14604.941878031879</v>
      </c>
      <c r="T305" s="443">
        <f>$T$302/$F$302*F305</f>
        <v>14543.793541233545</v>
      </c>
      <c r="U305" s="445"/>
      <c r="V305" s="443">
        <f t="shared" si="71"/>
        <v>33562.821136521125</v>
      </c>
      <c r="W305" s="212">
        <f>W302/F302*F305</f>
        <v>33501.672799722786</v>
      </c>
      <c r="X305" s="231">
        <f t="shared" si="66"/>
        <v>14604.941878031879</v>
      </c>
      <c r="Y305" s="231">
        <f t="shared" si="67"/>
        <v>0</v>
      </c>
      <c r="Z305" s="232">
        <f t="shared" si="68"/>
        <v>33501.672799722786</v>
      </c>
      <c r="AA305" s="22">
        <f t="shared" si="65"/>
        <v>0</v>
      </c>
      <c r="AB305" s="424">
        <f t="shared" si="69"/>
        <v>0</v>
      </c>
      <c r="AC305" s="424">
        <f t="shared" si="70"/>
        <v>0</v>
      </c>
    </row>
    <row r="306" spans="1:29" s="149" customFormat="1" ht="14.25" customHeight="1" x14ac:dyDescent="0.25">
      <c r="A306" s="152"/>
      <c r="B306" s="143"/>
      <c r="C306" s="154"/>
      <c r="D306" s="143"/>
      <c r="E306" s="166"/>
      <c r="F306" s="158"/>
      <c r="G306" s="142"/>
      <c r="H306" s="157"/>
      <c r="I306" s="157"/>
      <c r="J306" s="157"/>
      <c r="K306" s="171"/>
      <c r="L306" s="171"/>
      <c r="M306" s="171"/>
      <c r="N306" s="159"/>
      <c r="O306" s="159"/>
      <c r="P306" s="159"/>
      <c r="Q306" s="171"/>
      <c r="R306" s="213"/>
      <c r="S306" s="213"/>
      <c r="T306" s="443"/>
      <c r="U306" s="445"/>
      <c r="V306" s="443"/>
      <c r="W306" s="214"/>
      <c r="X306" s="231">
        <f t="shared" si="66"/>
        <v>0</v>
      </c>
      <c r="Y306" s="231">
        <f t="shared" si="67"/>
        <v>0</v>
      </c>
      <c r="Z306" s="232">
        <f t="shared" si="68"/>
        <v>0</v>
      </c>
      <c r="AA306" s="22">
        <f t="shared" si="65"/>
        <v>0</v>
      </c>
      <c r="AB306" s="424">
        <f t="shared" si="69"/>
        <v>0</v>
      </c>
      <c r="AC306" s="424">
        <f t="shared" si="70"/>
        <v>0</v>
      </c>
    </row>
    <row r="307" spans="1:29" s="257" customFormat="1" ht="14.25" customHeight="1" x14ac:dyDescent="0.25">
      <c r="A307" s="224">
        <f>SUM(A302+1)</f>
        <v>79</v>
      </c>
      <c r="B307" s="225" t="s">
        <v>148</v>
      </c>
      <c r="C307" s="226">
        <v>315</v>
      </c>
      <c r="D307" s="225" t="s">
        <v>77</v>
      </c>
      <c r="E307" s="454">
        <v>215</v>
      </c>
      <c r="F307" s="252">
        <v>42.5</v>
      </c>
      <c r="G307" s="248">
        <v>1948</v>
      </c>
      <c r="H307" s="237">
        <f>SUM(Лист1!G90)</f>
        <v>153271.01999999999</v>
      </c>
      <c r="I307" s="237">
        <f>SUM(Лист1!H90)</f>
        <v>0</v>
      </c>
      <c r="J307" s="237">
        <f>SUM(Лист1!I90)</f>
        <v>0</v>
      </c>
      <c r="K307" s="261"/>
      <c r="L307" s="261"/>
      <c r="M307" s="261"/>
      <c r="N307" s="261"/>
      <c r="O307" s="261"/>
      <c r="P307" s="261"/>
      <c r="Q307" s="261"/>
      <c r="R307" s="231">
        <f t="shared" si="73"/>
        <v>153271.01999999999</v>
      </c>
      <c r="S307" s="231">
        <f>SUM(I307+O307-J307)</f>
        <v>0</v>
      </c>
      <c r="T307" s="443"/>
      <c r="U307" s="445"/>
      <c r="V307" s="443">
        <f t="shared" si="71"/>
        <v>153271.01999999999</v>
      </c>
      <c r="W307" s="238">
        <f t="shared" si="64"/>
        <v>153271.01999999999</v>
      </c>
      <c r="X307" s="231">
        <f t="shared" si="66"/>
        <v>0</v>
      </c>
      <c r="Y307" s="231">
        <f t="shared" si="67"/>
        <v>0</v>
      </c>
      <c r="Z307" s="232">
        <f t="shared" si="68"/>
        <v>153271.01999999999</v>
      </c>
      <c r="AA307" s="22">
        <f t="shared" si="65"/>
        <v>0</v>
      </c>
      <c r="AB307" s="424">
        <f t="shared" si="69"/>
        <v>0</v>
      </c>
      <c r="AC307" s="424">
        <f t="shared" si="70"/>
        <v>0</v>
      </c>
    </row>
    <row r="308" spans="1:29" s="149" customFormat="1" ht="14.25" customHeight="1" x14ac:dyDescent="0.25">
      <c r="A308" s="163"/>
      <c r="B308" s="167"/>
      <c r="C308" s="146"/>
      <c r="D308" s="291" t="s">
        <v>482</v>
      </c>
      <c r="E308" s="169"/>
      <c r="F308" s="139">
        <v>42.5</v>
      </c>
      <c r="G308" s="249"/>
      <c r="H308" s="148"/>
      <c r="I308" s="148"/>
      <c r="J308" s="148"/>
      <c r="R308" s="211"/>
      <c r="S308" s="211"/>
      <c r="T308" s="443"/>
      <c r="U308" s="445"/>
      <c r="V308" s="443"/>
      <c r="W308" s="212"/>
      <c r="X308" s="231">
        <f t="shared" si="66"/>
        <v>0</v>
      </c>
      <c r="Y308" s="231">
        <f t="shared" si="67"/>
        <v>0</v>
      </c>
      <c r="Z308" s="232">
        <f t="shared" si="68"/>
        <v>0</v>
      </c>
      <c r="AA308" s="22">
        <f t="shared" si="65"/>
        <v>0</v>
      </c>
      <c r="AB308" s="424">
        <f t="shared" si="69"/>
        <v>0</v>
      </c>
      <c r="AC308" s="424">
        <f t="shared" si="70"/>
        <v>0</v>
      </c>
    </row>
    <row r="309" spans="1:29" s="149" customFormat="1" ht="14.25" customHeight="1" x14ac:dyDescent="0.25">
      <c r="A309" s="152"/>
      <c r="B309" s="143"/>
      <c r="C309" s="154"/>
      <c r="D309" s="143"/>
      <c r="E309" s="170"/>
      <c r="F309" s="158"/>
      <c r="G309" s="142"/>
      <c r="H309" s="157"/>
      <c r="I309" s="157"/>
      <c r="J309" s="157"/>
      <c r="K309" s="171"/>
      <c r="L309" s="171"/>
      <c r="M309" s="171"/>
      <c r="N309" s="171"/>
      <c r="O309" s="171"/>
      <c r="P309" s="171"/>
      <c r="Q309" s="171"/>
      <c r="R309" s="213"/>
      <c r="S309" s="213"/>
      <c r="T309" s="443"/>
      <c r="U309" s="445"/>
      <c r="V309" s="443"/>
      <c r="W309" s="214"/>
      <c r="X309" s="231">
        <f t="shared" si="66"/>
        <v>0</v>
      </c>
      <c r="Y309" s="231">
        <f t="shared" si="67"/>
        <v>0</v>
      </c>
      <c r="Z309" s="232">
        <f t="shared" si="68"/>
        <v>0</v>
      </c>
      <c r="AA309" s="22">
        <f t="shared" si="65"/>
        <v>0</v>
      </c>
      <c r="AB309" s="424">
        <f t="shared" si="69"/>
        <v>0</v>
      </c>
      <c r="AC309" s="424">
        <f t="shared" si="70"/>
        <v>0</v>
      </c>
    </row>
    <row r="310" spans="1:29" s="257" customFormat="1" ht="14.25" customHeight="1" x14ac:dyDescent="0.25">
      <c r="A310" s="224">
        <f>SUM(A307+1)</f>
        <v>80</v>
      </c>
      <c r="B310" s="225" t="s">
        <v>149</v>
      </c>
      <c r="C310" s="226">
        <v>316</v>
      </c>
      <c r="D310" s="225" t="s">
        <v>150</v>
      </c>
      <c r="E310" s="454">
        <v>1</v>
      </c>
      <c r="F310" s="252">
        <v>61.29</v>
      </c>
      <c r="G310" s="248">
        <v>1948</v>
      </c>
      <c r="H310" s="237">
        <f>SUM(Лист1!G91)</f>
        <v>86987.16</v>
      </c>
      <c r="I310" s="237">
        <f>SUM(Лист1!H91)</f>
        <v>0</v>
      </c>
      <c r="J310" s="237">
        <f>SUM(Лист1!I91)</f>
        <v>0</v>
      </c>
      <c r="K310" s="261"/>
      <c r="L310" s="261"/>
      <c r="M310" s="261"/>
      <c r="N310" s="261"/>
      <c r="O310" s="261"/>
      <c r="P310" s="261"/>
      <c r="Q310" s="261"/>
      <c r="R310" s="231">
        <f t="shared" si="73"/>
        <v>86987.16</v>
      </c>
      <c r="S310" s="231">
        <f>SUM(I310+O310-J310)</f>
        <v>0</v>
      </c>
      <c r="T310" s="443"/>
      <c r="U310" s="445"/>
      <c r="V310" s="443">
        <f t="shared" si="71"/>
        <v>86987.16</v>
      </c>
      <c r="W310" s="238">
        <f t="shared" si="64"/>
        <v>86987.16</v>
      </c>
      <c r="X310" s="231">
        <f t="shared" si="66"/>
        <v>0</v>
      </c>
      <c r="Y310" s="231">
        <f t="shared" si="67"/>
        <v>0</v>
      </c>
      <c r="Z310" s="232">
        <f t="shared" si="68"/>
        <v>86987.16</v>
      </c>
      <c r="AA310" s="22">
        <f t="shared" si="65"/>
        <v>0</v>
      </c>
      <c r="AB310" s="424">
        <f t="shared" si="69"/>
        <v>0</v>
      </c>
      <c r="AC310" s="424">
        <f t="shared" si="70"/>
        <v>0</v>
      </c>
    </row>
    <row r="311" spans="1:29" s="149" customFormat="1" ht="14.25" customHeight="1" x14ac:dyDescent="0.25">
      <c r="A311" s="152"/>
      <c r="B311" s="143"/>
      <c r="C311" s="154"/>
      <c r="D311" s="143"/>
      <c r="E311" s="170"/>
      <c r="F311" s="158"/>
      <c r="G311" s="142"/>
      <c r="H311" s="157"/>
      <c r="I311" s="157"/>
      <c r="J311" s="157"/>
      <c r="K311" s="171"/>
      <c r="L311" s="171"/>
      <c r="M311" s="171"/>
      <c r="N311" s="171"/>
      <c r="O311" s="171"/>
      <c r="P311" s="171"/>
      <c r="Q311" s="171"/>
      <c r="R311" s="213"/>
      <c r="S311" s="213"/>
      <c r="T311" s="443"/>
      <c r="U311" s="445"/>
      <c r="V311" s="443"/>
      <c r="W311" s="214"/>
      <c r="X311" s="231">
        <f t="shared" si="66"/>
        <v>0</v>
      </c>
      <c r="Y311" s="231">
        <f t="shared" si="67"/>
        <v>0</v>
      </c>
      <c r="Z311" s="232">
        <f t="shared" si="68"/>
        <v>0</v>
      </c>
      <c r="AA311" s="22">
        <f t="shared" si="65"/>
        <v>0</v>
      </c>
      <c r="AB311" s="424">
        <f t="shared" si="69"/>
        <v>0</v>
      </c>
      <c r="AC311" s="424">
        <f t="shared" si="70"/>
        <v>0</v>
      </c>
    </row>
    <row r="312" spans="1:29" s="257" customFormat="1" ht="14.25" customHeight="1" x14ac:dyDescent="0.25">
      <c r="A312" s="224">
        <f>SUM(A310+1)</f>
        <v>81</v>
      </c>
      <c r="B312" s="225" t="s">
        <v>151</v>
      </c>
      <c r="C312" s="226">
        <v>317</v>
      </c>
      <c r="D312" s="225" t="s">
        <v>152</v>
      </c>
      <c r="E312" s="454">
        <v>4</v>
      </c>
      <c r="F312" s="252">
        <v>42</v>
      </c>
      <c r="G312" s="248">
        <v>1939</v>
      </c>
      <c r="H312" s="237">
        <f>SUM(Лист1!G92)</f>
        <v>72538.59</v>
      </c>
      <c r="I312" s="237">
        <f>SUM(Лист1!H92)</f>
        <v>0</v>
      </c>
      <c r="J312" s="237">
        <f>SUM(Лист1!I92)</f>
        <v>0</v>
      </c>
      <c r="K312" s="261"/>
      <c r="L312" s="261"/>
      <c r="M312" s="261"/>
      <c r="N312" s="261"/>
      <c r="O312" s="261"/>
      <c r="P312" s="261"/>
      <c r="Q312" s="261"/>
      <c r="R312" s="231">
        <f t="shared" si="73"/>
        <v>72538.59</v>
      </c>
      <c r="S312" s="231">
        <f>SUM(I312+O312-J312)</f>
        <v>0</v>
      </c>
      <c r="T312" s="443"/>
      <c r="U312" s="445"/>
      <c r="V312" s="443">
        <f t="shared" si="71"/>
        <v>72538.59</v>
      </c>
      <c r="W312" s="238">
        <f t="shared" si="64"/>
        <v>72538.59</v>
      </c>
      <c r="X312" s="231">
        <f t="shared" si="66"/>
        <v>0</v>
      </c>
      <c r="Y312" s="231">
        <f t="shared" si="67"/>
        <v>0</v>
      </c>
      <c r="Z312" s="232">
        <f t="shared" si="68"/>
        <v>72538.59</v>
      </c>
      <c r="AA312" s="22">
        <f t="shared" si="65"/>
        <v>0</v>
      </c>
      <c r="AB312" s="424">
        <f t="shared" si="69"/>
        <v>0</v>
      </c>
      <c r="AC312" s="424">
        <f t="shared" si="70"/>
        <v>0</v>
      </c>
    </row>
    <row r="313" spans="1:29" s="149" customFormat="1" ht="14.25" customHeight="1" x14ac:dyDescent="0.25">
      <c r="A313" s="163"/>
      <c r="B313" s="167"/>
      <c r="C313" s="146"/>
      <c r="D313" s="291" t="s">
        <v>493</v>
      </c>
      <c r="E313" s="169"/>
      <c r="F313" s="139">
        <v>42</v>
      </c>
      <c r="G313" s="249"/>
      <c r="H313" s="148"/>
      <c r="I313" s="148"/>
      <c r="J313" s="148"/>
      <c r="R313" s="211"/>
      <c r="S313" s="211"/>
      <c r="T313" s="443"/>
      <c r="U313" s="445"/>
      <c r="V313" s="443"/>
      <c r="W313" s="212"/>
      <c r="X313" s="231">
        <f t="shared" si="66"/>
        <v>0</v>
      </c>
      <c r="Y313" s="231">
        <f t="shared" si="67"/>
        <v>0</v>
      </c>
      <c r="Z313" s="232">
        <f t="shared" si="68"/>
        <v>0</v>
      </c>
      <c r="AA313" s="22">
        <f t="shared" si="65"/>
        <v>0</v>
      </c>
      <c r="AB313" s="424">
        <f t="shared" si="69"/>
        <v>0</v>
      </c>
      <c r="AC313" s="424">
        <f t="shared" si="70"/>
        <v>0</v>
      </c>
    </row>
    <row r="314" spans="1:29" s="149" customFormat="1" ht="14.25" customHeight="1" x14ac:dyDescent="0.25">
      <c r="A314" s="152"/>
      <c r="B314" s="143"/>
      <c r="C314" s="154"/>
      <c r="D314" s="143"/>
      <c r="E314" s="170"/>
      <c r="F314" s="158"/>
      <c r="G314" s="142"/>
      <c r="H314" s="157"/>
      <c r="I314" s="157"/>
      <c r="J314" s="157"/>
      <c r="K314" s="171"/>
      <c r="L314" s="171"/>
      <c r="M314" s="171"/>
      <c r="N314" s="171"/>
      <c r="O314" s="171"/>
      <c r="P314" s="171"/>
      <c r="Q314" s="171"/>
      <c r="R314" s="213"/>
      <c r="S314" s="213"/>
      <c r="T314" s="443"/>
      <c r="U314" s="445"/>
      <c r="V314" s="443"/>
      <c r="W314" s="214"/>
      <c r="X314" s="231">
        <f t="shared" si="66"/>
        <v>0</v>
      </c>
      <c r="Y314" s="231">
        <f t="shared" si="67"/>
        <v>0</v>
      </c>
      <c r="Z314" s="232">
        <f t="shared" si="68"/>
        <v>0</v>
      </c>
      <c r="AA314" s="22">
        <f t="shared" si="65"/>
        <v>0</v>
      </c>
      <c r="AB314" s="424">
        <f t="shared" si="69"/>
        <v>0</v>
      </c>
      <c r="AC314" s="424">
        <f t="shared" si="70"/>
        <v>0</v>
      </c>
    </row>
    <row r="315" spans="1:29" s="257" customFormat="1" ht="14.25" customHeight="1" x14ac:dyDescent="0.25">
      <c r="A315" s="224">
        <f>SUM(A312+1)</f>
        <v>82</v>
      </c>
      <c r="B315" s="225" t="s">
        <v>153</v>
      </c>
      <c r="C315" s="226">
        <v>325</v>
      </c>
      <c r="D315" s="225" t="s">
        <v>154</v>
      </c>
      <c r="E315" s="251">
        <v>6</v>
      </c>
      <c r="F315" s="245">
        <v>82.08</v>
      </c>
      <c r="G315" s="258">
        <v>1948</v>
      </c>
      <c r="H315" s="237">
        <f>SUM(Лист1!G93)</f>
        <v>139038.99</v>
      </c>
      <c r="I315" s="237">
        <f>SUM(Лист1!H93)</f>
        <v>0</v>
      </c>
      <c r="J315" s="237">
        <f>SUM(Лист1!I93)</f>
        <v>0</v>
      </c>
      <c r="K315" s="261"/>
      <c r="L315" s="261"/>
      <c r="M315" s="261"/>
      <c r="N315" s="261"/>
      <c r="O315" s="261"/>
      <c r="P315" s="261"/>
      <c r="Q315" s="261"/>
      <c r="R315" s="231">
        <f t="shared" si="73"/>
        <v>139038.99</v>
      </c>
      <c r="S315" s="231">
        <f>SUM(I315+O315-J315)</f>
        <v>0</v>
      </c>
      <c r="T315" s="443"/>
      <c r="U315" s="445"/>
      <c r="V315" s="443">
        <f t="shared" si="71"/>
        <v>139038.99</v>
      </c>
      <c r="W315" s="238">
        <f t="shared" si="64"/>
        <v>139038.99</v>
      </c>
      <c r="X315" s="231">
        <f t="shared" si="66"/>
        <v>0</v>
      </c>
      <c r="Y315" s="231">
        <f t="shared" si="67"/>
        <v>0</v>
      </c>
      <c r="Z315" s="232">
        <f t="shared" si="68"/>
        <v>139038.99</v>
      </c>
      <c r="AA315" s="22">
        <f t="shared" si="65"/>
        <v>0</v>
      </c>
      <c r="AB315" s="424">
        <f t="shared" si="69"/>
        <v>0</v>
      </c>
      <c r="AC315" s="424">
        <f t="shared" si="70"/>
        <v>0</v>
      </c>
    </row>
    <row r="316" spans="1:29" s="149" customFormat="1" ht="14.25" customHeight="1" x14ac:dyDescent="0.25">
      <c r="A316" s="163"/>
      <c r="B316" s="167"/>
      <c r="C316" s="146"/>
      <c r="D316" s="291" t="s">
        <v>494</v>
      </c>
      <c r="E316" s="147"/>
      <c r="F316" s="205">
        <v>82.08</v>
      </c>
      <c r="G316" s="144"/>
      <c r="H316" s="148"/>
      <c r="I316" s="148"/>
      <c r="J316" s="148"/>
      <c r="R316" s="211"/>
      <c r="S316" s="211"/>
      <c r="T316" s="443"/>
      <c r="U316" s="445"/>
      <c r="V316" s="443"/>
      <c r="W316" s="212"/>
      <c r="X316" s="231">
        <f t="shared" si="66"/>
        <v>0</v>
      </c>
      <c r="Y316" s="231">
        <f t="shared" si="67"/>
        <v>0</v>
      </c>
      <c r="Z316" s="232">
        <f t="shared" si="68"/>
        <v>0</v>
      </c>
      <c r="AA316" s="22">
        <f t="shared" si="65"/>
        <v>0</v>
      </c>
      <c r="AB316" s="424">
        <f t="shared" si="69"/>
        <v>0</v>
      </c>
      <c r="AC316" s="424">
        <f t="shared" si="70"/>
        <v>0</v>
      </c>
    </row>
    <row r="317" spans="1:29" s="149" customFormat="1" ht="14.25" customHeight="1" x14ac:dyDescent="0.25">
      <c r="A317" s="152"/>
      <c r="B317" s="143"/>
      <c r="C317" s="154"/>
      <c r="D317" s="143"/>
      <c r="E317" s="155"/>
      <c r="F317" s="206"/>
      <c r="G317" s="156"/>
      <c r="H317" s="157"/>
      <c r="I317" s="157"/>
      <c r="J317" s="157"/>
      <c r="K317" s="171"/>
      <c r="L317" s="171"/>
      <c r="M317" s="171"/>
      <c r="N317" s="171"/>
      <c r="O317" s="171"/>
      <c r="P317" s="171"/>
      <c r="Q317" s="171"/>
      <c r="R317" s="213"/>
      <c r="S317" s="213"/>
      <c r="T317" s="443"/>
      <c r="U317" s="445"/>
      <c r="V317" s="443"/>
      <c r="W317" s="214"/>
      <c r="X317" s="231">
        <f t="shared" si="66"/>
        <v>0</v>
      </c>
      <c r="Y317" s="231">
        <f t="shared" si="67"/>
        <v>0</v>
      </c>
      <c r="Z317" s="232">
        <f t="shared" si="68"/>
        <v>0</v>
      </c>
      <c r="AA317" s="22">
        <f t="shared" si="65"/>
        <v>0</v>
      </c>
      <c r="AB317" s="424">
        <f t="shared" si="69"/>
        <v>0</v>
      </c>
      <c r="AC317" s="424">
        <f t="shared" si="70"/>
        <v>0</v>
      </c>
    </row>
    <row r="318" spans="1:29" s="337" customFormat="1" ht="14.25" customHeight="1" x14ac:dyDescent="0.25">
      <c r="A318" s="330">
        <f>SUM(A315+1)</f>
        <v>83</v>
      </c>
      <c r="B318" s="323" t="s">
        <v>155</v>
      </c>
      <c r="C318" s="452">
        <v>326</v>
      </c>
      <c r="D318" s="323" t="s">
        <v>154</v>
      </c>
      <c r="E318" s="460" t="s">
        <v>156</v>
      </c>
      <c r="F318" s="324">
        <v>26.44</v>
      </c>
      <c r="G318" s="331">
        <v>1948</v>
      </c>
      <c r="H318" s="326">
        <f>SUM(Лист1!G94)</f>
        <v>66641.45</v>
      </c>
      <c r="I318" s="326">
        <f>SUM(Лист1!H94)</f>
        <v>0</v>
      </c>
      <c r="J318" s="326">
        <f>SUM(Лист1!I94)</f>
        <v>0</v>
      </c>
      <c r="K318" s="327"/>
      <c r="L318" s="327"/>
      <c r="M318" s="327"/>
      <c r="N318" s="327"/>
      <c r="O318" s="327"/>
      <c r="P318" s="327"/>
      <c r="Q318" s="327"/>
      <c r="R318" s="332">
        <f t="shared" si="73"/>
        <v>66641.45</v>
      </c>
      <c r="S318" s="231">
        <f>SUM(I318+O318-J318)</f>
        <v>0</v>
      </c>
      <c r="T318" s="443"/>
      <c r="U318" s="445"/>
      <c r="V318" s="443">
        <f t="shared" si="71"/>
        <v>66641.45</v>
      </c>
      <c r="W318" s="328">
        <f t="shared" si="64"/>
        <v>66641.45</v>
      </c>
      <c r="X318" s="231">
        <f t="shared" si="66"/>
        <v>0</v>
      </c>
      <c r="Y318" s="231">
        <f t="shared" si="67"/>
        <v>0</v>
      </c>
      <c r="Z318" s="232">
        <f t="shared" si="68"/>
        <v>66641.45</v>
      </c>
      <c r="AA318" s="22">
        <f t="shared" si="65"/>
        <v>0</v>
      </c>
      <c r="AB318" s="424">
        <f t="shared" si="69"/>
        <v>0</v>
      </c>
      <c r="AC318" s="424">
        <f t="shared" si="70"/>
        <v>0</v>
      </c>
    </row>
    <row r="319" spans="1:29" s="185" customFormat="1" ht="14.25" customHeight="1" x14ac:dyDescent="0.25">
      <c r="A319" s="190"/>
      <c r="B319" s="191"/>
      <c r="C319" s="192"/>
      <c r="D319" s="191"/>
      <c r="E319" s="466"/>
      <c r="F319" s="196"/>
      <c r="G319" s="352"/>
      <c r="H319" s="194"/>
      <c r="I319" s="194"/>
      <c r="J319" s="194"/>
      <c r="K319" s="195"/>
      <c r="L319" s="195"/>
      <c r="M319" s="195"/>
      <c r="N319" s="195"/>
      <c r="O319" s="195"/>
      <c r="P319" s="195"/>
      <c r="Q319" s="195"/>
      <c r="R319" s="221"/>
      <c r="S319" s="221"/>
      <c r="T319" s="443"/>
      <c r="U319" s="445"/>
      <c r="V319" s="443"/>
      <c r="W319" s="222"/>
      <c r="X319" s="231">
        <f t="shared" si="66"/>
        <v>0</v>
      </c>
      <c r="Y319" s="231">
        <f t="shared" si="67"/>
        <v>0</v>
      </c>
      <c r="Z319" s="232">
        <f t="shared" si="68"/>
        <v>0</v>
      </c>
      <c r="AA319" s="22">
        <f t="shared" si="65"/>
        <v>0</v>
      </c>
      <c r="AB319" s="424">
        <f t="shared" si="69"/>
        <v>0</v>
      </c>
      <c r="AC319" s="424">
        <f t="shared" si="70"/>
        <v>0</v>
      </c>
    </row>
    <row r="320" spans="1:29" s="257" customFormat="1" ht="14.25" customHeight="1" x14ac:dyDescent="0.25">
      <c r="A320" s="224">
        <f>SUM(A318+1)</f>
        <v>84</v>
      </c>
      <c r="B320" s="225" t="s">
        <v>157</v>
      </c>
      <c r="C320" s="226">
        <v>330</v>
      </c>
      <c r="D320" s="225" t="s">
        <v>158</v>
      </c>
      <c r="E320" s="454">
        <v>69</v>
      </c>
      <c r="F320" s="252">
        <v>52.3</v>
      </c>
      <c r="G320" s="248">
        <v>1969</v>
      </c>
      <c r="H320" s="237">
        <f>SUM(Лист1!G95)</f>
        <v>383588.97</v>
      </c>
      <c r="I320" s="237">
        <f>SUM(Лист1!H95)</f>
        <v>38025.980000000003</v>
      </c>
      <c r="J320" s="237">
        <f>SUM(Лист1!I95)</f>
        <v>246.31</v>
      </c>
      <c r="K320" s="261"/>
      <c r="L320" s="261"/>
      <c r="M320" s="261"/>
      <c r="N320" s="261"/>
      <c r="O320" s="261"/>
      <c r="P320" s="261"/>
      <c r="Q320" s="261"/>
      <c r="R320" s="231">
        <f t="shared" si="73"/>
        <v>383588.97</v>
      </c>
      <c r="S320" s="231">
        <f>SUM(I320+O320-J320)</f>
        <v>37779.670000000006</v>
      </c>
      <c r="T320" s="443">
        <f>S320-3*U320</f>
        <v>37040.740000000005</v>
      </c>
      <c r="U320" s="445">
        <f t="shared" si="72"/>
        <v>246.31</v>
      </c>
      <c r="V320" s="443">
        <f t="shared" si="71"/>
        <v>346548.23</v>
      </c>
      <c r="W320" s="238">
        <f t="shared" si="64"/>
        <v>345809.3</v>
      </c>
      <c r="X320" s="231">
        <f t="shared" si="66"/>
        <v>37533.360000000008</v>
      </c>
      <c r="Y320" s="231">
        <f t="shared" si="67"/>
        <v>246.31</v>
      </c>
      <c r="Z320" s="232">
        <f t="shared" si="68"/>
        <v>346055.61</v>
      </c>
      <c r="AA320" s="22">
        <f t="shared" ref="AA320:AA380" si="76">SUM(U320-Y320)</f>
        <v>0</v>
      </c>
      <c r="AB320" s="424">
        <f t="shared" si="69"/>
        <v>-2.3305801732931286E-12</v>
      </c>
      <c r="AC320" s="424">
        <f t="shared" si="70"/>
        <v>0</v>
      </c>
    </row>
    <row r="321" spans="1:29" s="149" customFormat="1" ht="14.25" customHeight="1" x14ac:dyDescent="0.25">
      <c r="A321" s="163"/>
      <c r="B321" s="167"/>
      <c r="C321" s="146"/>
      <c r="D321" s="291" t="s">
        <v>477</v>
      </c>
      <c r="E321" s="169"/>
      <c r="F321" s="139">
        <v>52.3</v>
      </c>
      <c r="G321" s="249"/>
      <c r="H321" s="148"/>
      <c r="I321" s="148"/>
      <c r="J321" s="148"/>
      <c r="R321" s="211"/>
      <c r="S321" s="211"/>
      <c r="T321" s="443"/>
      <c r="U321" s="445"/>
      <c r="V321" s="443"/>
      <c r="W321" s="212"/>
      <c r="X321" s="231">
        <f t="shared" ref="X321:X380" si="77">SUM(S321-U321)</f>
        <v>0</v>
      </c>
      <c r="Y321" s="231">
        <f t="shared" ref="Y321:Y380" si="78">SUM(U321)</f>
        <v>0</v>
      </c>
      <c r="Z321" s="232">
        <f t="shared" ref="Z321:Z380" si="79">SUM(U321+W321)</f>
        <v>0</v>
      </c>
      <c r="AA321" s="22">
        <f t="shared" si="76"/>
        <v>0</v>
      </c>
      <c r="AB321" s="424">
        <f t="shared" ref="AB321:AB380" si="80">SUM(S321-X321-U321)</f>
        <v>0</v>
      </c>
      <c r="AC321" s="424">
        <f t="shared" ref="AC321:AC380" si="81">SUM(R321-X321-Z321)</f>
        <v>0</v>
      </c>
    </row>
    <row r="322" spans="1:29" s="149" customFormat="1" ht="14.25" customHeight="1" x14ac:dyDescent="0.25">
      <c r="A322" s="152"/>
      <c r="B322" s="143"/>
      <c r="C322" s="154"/>
      <c r="D322" s="143"/>
      <c r="E322" s="170"/>
      <c r="F322" s="158"/>
      <c r="G322" s="142"/>
      <c r="H322" s="157"/>
      <c r="I322" s="157"/>
      <c r="J322" s="157"/>
      <c r="K322" s="171"/>
      <c r="L322" s="171"/>
      <c r="M322" s="171"/>
      <c r="N322" s="171"/>
      <c r="O322" s="171"/>
      <c r="P322" s="171"/>
      <c r="Q322" s="171"/>
      <c r="R322" s="213"/>
      <c r="S322" s="213"/>
      <c r="T322" s="443"/>
      <c r="U322" s="445"/>
      <c r="V322" s="443"/>
      <c r="W322" s="214"/>
      <c r="X322" s="231">
        <f t="shared" si="77"/>
        <v>0</v>
      </c>
      <c r="Y322" s="231">
        <f t="shared" si="78"/>
        <v>0</v>
      </c>
      <c r="Z322" s="232">
        <f t="shared" si="79"/>
        <v>0</v>
      </c>
      <c r="AA322" s="22">
        <f t="shared" si="76"/>
        <v>0</v>
      </c>
      <c r="AB322" s="424">
        <f t="shared" si="80"/>
        <v>0</v>
      </c>
      <c r="AC322" s="424">
        <f t="shared" si="81"/>
        <v>0</v>
      </c>
    </row>
    <row r="323" spans="1:29" s="257" customFormat="1" ht="14.25" customHeight="1" x14ac:dyDescent="0.25">
      <c r="A323" s="224">
        <f>SUM(A320+1)</f>
        <v>85</v>
      </c>
      <c r="B323" s="225" t="s">
        <v>159</v>
      </c>
      <c r="C323" s="226">
        <v>331</v>
      </c>
      <c r="D323" s="225" t="s">
        <v>160</v>
      </c>
      <c r="E323" s="454">
        <v>35</v>
      </c>
      <c r="F323" s="252">
        <v>12</v>
      </c>
      <c r="G323" s="248">
        <v>1948</v>
      </c>
      <c r="H323" s="237">
        <f>SUM(Лист1!G96)</f>
        <v>27982.45</v>
      </c>
      <c r="I323" s="237">
        <f>SUM(Лист1!H96)</f>
        <v>0</v>
      </c>
      <c r="J323" s="237">
        <f>SUM(Лист1!I96)</f>
        <v>0</v>
      </c>
      <c r="K323" s="261"/>
      <c r="L323" s="261"/>
      <c r="M323" s="261"/>
      <c r="N323" s="261"/>
      <c r="O323" s="261"/>
      <c r="P323" s="261"/>
      <c r="Q323" s="261"/>
      <c r="R323" s="231">
        <f t="shared" si="73"/>
        <v>27982.45</v>
      </c>
      <c r="S323" s="231">
        <f>SUM(I323+O323-J323)</f>
        <v>0</v>
      </c>
      <c r="T323" s="443"/>
      <c r="U323" s="445"/>
      <c r="V323" s="443">
        <f t="shared" si="71"/>
        <v>27982.45</v>
      </c>
      <c r="W323" s="238">
        <f t="shared" si="64"/>
        <v>27982.45</v>
      </c>
      <c r="X323" s="231">
        <f t="shared" si="77"/>
        <v>0</v>
      </c>
      <c r="Y323" s="231">
        <f t="shared" si="78"/>
        <v>0</v>
      </c>
      <c r="Z323" s="232">
        <f t="shared" si="79"/>
        <v>27982.45</v>
      </c>
      <c r="AA323" s="22">
        <f t="shared" si="76"/>
        <v>0</v>
      </c>
      <c r="AB323" s="424">
        <f t="shared" si="80"/>
        <v>0</v>
      </c>
      <c r="AC323" s="424">
        <f t="shared" si="81"/>
        <v>0</v>
      </c>
    </row>
    <row r="324" spans="1:29" s="149" customFormat="1" ht="14.25" customHeight="1" x14ac:dyDescent="0.25">
      <c r="A324" s="163"/>
      <c r="B324" s="167"/>
      <c r="C324" s="146"/>
      <c r="D324" s="291" t="s">
        <v>477</v>
      </c>
      <c r="E324" s="169"/>
      <c r="F324" s="139">
        <v>12</v>
      </c>
      <c r="G324" s="249"/>
      <c r="H324" s="148"/>
      <c r="I324" s="148"/>
      <c r="J324" s="148"/>
      <c r="R324" s="211"/>
      <c r="S324" s="211"/>
      <c r="T324" s="443"/>
      <c r="U324" s="445"/>
      <c r="V324" s="443"/>
      <c r="W324" s="212"/>
      <c r="X324" s="231">
        <f t="shared" si="77"/>
        <v>0</v>
      </c>
      <c r="Y324" s="231">
        <f t="shared" si="78"/>
        <v>0</v>
      </c>
      <c r="Z324" s="232">
        <f t="shared" si="79"/>
        <v>0</v>
      </c>
      <c r="AA324" s="22">
        <f t="shared" si="76"/>
        <v>0</v>
      </c>
      <c r="AB324" s="424">
        <f t="shared" si="80"/>
        <v>0</v>
      </c>
      <c r="AC324" s="424">
        <f t="shared" si="81"/>
        <v>0</v>
      </c>
    </row>
    <row r="325" spans="1:29" s="149" customFormat="1" ht="14.25" customHeight="1" x14ac:dyDescent="0.25">
      <c r="A325" s="152"/>
      <c r="B325" s="143"/>
      <c r="C325" s="154"/>
      <c r="D325" s="143"/>
      <c r="E325" s="170"/>
      <c r="F325" s="158"/>
      <c r="G325" s="142"/>
      <c r="H325" s="157"/>
      <c r="I325" s="157"/>
      <c r="J325" s="157"/>
      <c r="K325" s="171"/>
      <c r="L325" s="171"/>
      <c r="M325" s="171"/>
      <c r="N325" s="171"/>
      <c r="O325" s="171"/>
      <c r="P325" s="171"/>
      <c r="Q325" s="171"/>
      <c r="R325" s="213"/>
      <c r="S325" s="213"/>
      <c r="T325" s="443"/>
      <c r="U325" s="445"/>
      <c r="V325" s="443"/>
      <c r="W325" s="214"/>
      <c r="X325" s="231">
        <f t="shared" si="77"/>
        <v>0</v>
      </c>
      <c r="Y325" s="231">
        <f t="shared" si="78"/>
        <v>0</v>
      </c>
      <c r="Z325" s="232">
        <f t="shared" si="79"/>
        <v>0</v>
      </c>
      <c r="AA325" s="22">
        <f t="shared" si="76"/>
        <v>0</v>
      </c>
      <c r="AB325" s="424">
        <f t="shared" si="80"/>
        <v>0</v>
      </c>
      <c r="AC325" s="424">
        <f t="shared" si="81"/>
        <v>0</v>
      </c>
    </row>
    <row r="326" spans="1:29" s="337" customFormat="1" ht="14.25" customHeight="1" x14ac:dyDescent="0.25">
      <c r="A326" s="330">
        <f>SUM(A323+1)</f>
        <v>86</v>
      </c>
      <c r="B326" s="323" t="s">
        <v>161</v>
      </c>
      <c r="C326" s="452">
        <v>335</v>
      </c>
      <c r="D326" s="323" t="s">
        <v>120</v>
      </c>
      <c r="E326" s="456">
        <v>15</v>
      </c>
      <c r="F326" s="324">
        <f>F328+F329+F330+F331+F332+F333+F334+F335+F336</f>
        <v>267.37</v>
      </c>
      <c r="G326" s="331">
        <v>1961</v>
      </c>
      <c r="H326" s="326">
        <f>SUM(Лист1!G97)</f>
        <v>29992.61</v>
      </c>
      <c r="I326" s="326">
        <f>SUM(Лист1!H97)</f>
        <v>12386.2</v>
      </c>
      <c r="J326" s="326">
        <f>SUM(Лист1!I97)</f>
        <v>24.24</v>
      </c>
      <c r="K326" s="327"/>
      <c r="L326" s="327"/>
      <c r="M326" s="327"/>
      <c r="N326" s="327"/>
      <c r="O326" s="327"/>
      <c r="P326" s="327"/>
      <c r="Q326" s="327"/>
      <c r="R326" s="332">
        <f t="shared" si="73"/>
        <v>29992.61</v>
      </c>
      <c r="S326" s="231">
        <f>SUM(I326+O326-J326)</f>
        <v>12361.960000000001</v>
      </c>
      <c r="T326" s="443">
        <f>S326-3*U326</f>
        <v>12289.240000000002</v>
      </c>
      <c r="U326" s="445">
        <f t="shared" si="72"/>
        <v>24.24</v>
      </c>
      <c r="V326" s="443">
        <f t="shared" si="71"/>
        <v>17703.37</v>
      </c>
      <c r="W326" s="328">
        <f t="shared" si="64"/>
        <v>17630.650000000001</v>
      </c>
      <c r="X326" s="231">
        <f t="shared" si="77"/>
        <v>12337.720000000001</v>
      </c>
      <c r="Y326" s="231">
        <f t="shared" si="78"/>
        <v>24.24</v>
      </c>
      <c r="Z326" s="232">
        <f t="shared" si="79"/>
        <v>17654.890000000003</v>
      </c>
      <c r="AA326" s="22">
        <f t="shared" si="76"/>
        <v>0</v>
      </c>
      <c r="AB326" s="424">
        <f t="shared" si="80"/>
        <v>-2.1671553440683056E-13</v>
      </c>
      <c r="AC326" s="424">
        <f t="shared" si="81"/>
        <v>-3.637978807091713E-12</v>
      </c>
    </row>
    <row r="327" spans="1:29" s="269" customFormat="1" ht="14.25" customHeight="1" x14ac:dyDescent="0.25">
      <c r="A327" s="272"/>
      <c r="B327" s="276"/>
      <c r="C327" s="266"/>
      <c r="D327" s="353" t="s">
        <v>518</v>
      </c>
      <c r="E327" s="457"/>
      <c r="F327" s="268"/>
      <c r="G327" s="278"/>
      <c r="H327" s="151"/>
      <c r="I327" s="151"/>
      <c r="J327" s="151"/>
      <c r="R327" s="274"/>
      <c r="S327" s="274"/>
      <c r="T327" s="443"/>
      <c r="U327" s="445"/>
      <c r="V327" s="443"/>
      <c r="W327" s="295"/>
      <c r="X327" s="231">
        <f t="shared" si="77"/>
        <v>0</v>
      </c>
      <c r="Y327" s="231">
        <f t="shared" si="78"/>
        <v>0</v>
      </c>
      <c r="Z327" s="232">
        <f t="shared" si="79"/>
        <v>0</v>
      </c>
      <c r="AA327" s="22">
        <f t="shared" si="76"/>
        <v>0</v>
      </c>
      <c r="AB327" s="424">
        <f t="shared" si="80"/>
        <v>0</v>
      </c>
      <c r="AC327" s="424">
        <f t="shared" si="81"/>
        <v>0</v>
      </c>
    </row>
    <row r="328" spans="1:29" s="269" customFormat="1" ht="14.25" customHeight="1" x14ac:dyDescent="0.25">
      <c r="A328" s="272"/>
      <c r="B328" s="276"/>
      <c r="C328" s="266"/>
      <c r="D328" s="354" t="s">
        <v>511</v>
      </c>
      <c r="E328" s="457"/>
      <c r="F328" s="268">
        <v>34.700000000000003</v>
      </c>
      <c r="G328" s="278"/>
      <c r="H328" s="151"/>
      <c r="I328" s="151"/>
      <c r="J328" s="151"/>
      <c r="R328" s="274">
        <f>$R$326/$F$326*F328</f>
        <v>3892.5218498709655</v>
      </c>
      <c r="S328" s="274">
        <f>12361.96/294.35*F328</f>
        <v>1457.3127637166638</v>
      </c>
      <c r="T328" s="443">
        <f>$T$326/$F$326*F328</f>
        <v>1594.930725212253</v>
      </c>
      <c r="U328" s="445"/>
      <c r="V328" s="443">
        <f t="shared" si="71"/>
        <v>2297.5911246587125</v>
      </c>
      <c r="W328" s="295">
        <f>SUM(R328-S328)</f>
        <v>2435.209086154302</v>
      </c>
      <c r="X328" s="231">
        <f t="shared" si="77"/>
        <v>1457.3127637166638</v>
      </c>
      <c r="Y328" s="231">
        <f t="shared" si="78"/>
        <v>0</v>
      </c>
      <c r="Z328" s="232">
        <f t="shared" si="79"/>
        <v>2435.209086154302</v>
      </c>
      <c r="AA328" s="22">
        <f t="shared" si="76"/>
        <v>0</v>
      </c>
      <c r="AB328" s="424">
        <f t="shared" si="80"/>
        <v>0</v>
      </c>
      <c r="AC328" s="424">
        <f t="shared" si="81"/>
        <v>0</v>
      </c>
    </row>
    <row r="329" spans="1:29" s="269" customFormat="1" ht="14.25" customHeight="1" x14ac:dyDescent="0.25">
      <c r="A329" s="272"/>
      <c r="B329" s="276"/>
      <c r="C329" s="266"/>
      <c r="D329" s="354" t="s">
        <v>509</v>
      </c>
      <c r="E329" s="457"/>
      <c r="F329" s="268">
        <v>44.76</v>
      </c>
      <c r="G329" s="278"/>
      <c r="H329" s="151"/>
      <c r="I329" s="151"/>
      <c r="J329" s="151"/>
      <c r="R329" s="274">
        <f t="shared" ref="R329:R335" si="82">$R$326/$F$326*F329</f>
        <v>5021.0166570669853</v>
      </c>
      <c r="S329" s="274">
        <f t="shared" ref="S329:S335" si="83">12361.96/294.35*F329</f>
        <v>1879.8074727365379</v>
      </c>
      <c r="T329" s="443">
        <f t="shared" ref="T329:T335" si="84">$T$326/$F$326*F329</f>
        <v>2057.3227452593783</v>
      </c>
      <c r="U329" s="445"/>
      <c r="V329" s="443">
        <f t="shared" si="71"/>
        <v>2963.693911807607</v>
      </c>
      <c r="W329" s="295">
        <f t="shared" ref="W329:W335" si="85">SUM(R329-S329)</f>
        <v>3141.2091843304474</v>
      </c>
      <c r="X329" s="231">
        <f t="shared" si="77"/>
        <v>1879.8074727365379</v>
      </c>
      <c r="Y329" s="231">
        <f t="shared" si="78"/>
        <v>0</v>
      </c>
      <c r="Z329" s="232">
        <f t="shared" si="79"/>
        <v>3141.2091843304474</v>
      </c>
      <c r="AA329" s="22">
        <f t="shared" si="76"/>
        <v>0</v>
      </c>
      <c r="AB329" s="424">
        <f t="shared" si="80"/>
        <v>0</v>
      </c>
      <c r="AC329" s="424">
        <f t="shared" si="81"/>
        <v>0</v>
      </c>
    </row>
    <row r="330" spans="1:29" s="269" customFormat="1" ht="14.25" customHeight="1" x14ac:dyDescent="0.25">
      <c r="A330" s="272"/>
      <c r="B330" s="276"/>
      <c r="C330" s="266"/>
      <c r="D330" s="354" t="s">
        <v>510</v>
      </c>
      <c r="E330" s="457"/>
      <c r="F330" s="268">
        <v>64.31</v>
      </c>
      <c r="G330" s="278"/>
      <c r="H330" s="151"/>
      <c r="I330" s="151"/>
      <c r="J330" s="151"/>
      <c r="R330" s="274">
        <f t="shared" si="82"/>
        <v>7214.0657108127316</v>
      </c>
      <c r="S330" s="274">
        <f t="shared" si="83"/>
        <v>2700.858323764226</v>
      </c>
      <c r="T330" s="443">
        <f t="shared" si="84"/>
        <v>2955.9076351123913</v>
      </c>
      <c r="U330" s="445"/>
      <c r="V330" s="443">
        <f t="shared" si="71"/>
        <v>4258.1580757003403</v>
      </c>
      <c r="W330" s="295">
        <f t="shared" si="85"/>
        <v>4513.2073870485056</v>
      </c>
      <c r="X330" s="231">
        <f t="shared" si="77"/>
        <v>2700.858323764226</v>
      </c>
      <c r="Y330" s="231">
        <f t="shared" si="78"/>
        <v>0</v>
      </c>
      <c r="Z330" s="232">
        <f t="shared" si="79"/>
        <v>4513.2073870485056</v>
      </c>
      <c r="AA330" s="22">
        <f t="shared" si="76"/>
        <v>0</v>
      </c>
      <c r="AB330" s="424">
        <f t="shared" si="80"/>
        <v>0</v>
      </c>
      <c r="AC330" s="424">
        <f t="shared" si="81"/>
        <v>0</v>
      </c>
    </row>
    <row r="331" spans="1:29" s="269" customFormat="1" ht="14.25" customHeight="1" x14ac:dyDescent="0.25">
      <c r="A331" s="272"/>
      <c r="B331" s="276"/>
      <c r="C331" s="266"/>
      <c r="D331" s="354" t="s">
        <v>548</v>
      </c>
      <c r="E331" s="457"/>
      <c r="F331" s="268">
        <v>14.15</v>
      </c>
      <c r="G331" s="278"/>
      <c r="H331" s="151"/>
      <c r="I331" s="151"/>
      <c r="J331" s="151"/>
      <c r="R331" s="274">
        <f t="shared" si="82"/>
        <v>1587.2963739387367</v>
      </c>
      <c r="S331" s="274">
        <f t="shared" si="83"/>
        <v>594.26442670290464</v>
      </c>
      <c r="T331" s="443">
        <f t="shared" si="84"/>
        <v>650.3824138833827</v>
      </c>
      <c r="U331" s="445"/>
      <c r="V331" s="443">
        <f t="shared" si="71"/>
        <v>936.91396005535398</v>
      </c>
      <c r="W331" s="295">
        <f t="shared" si="85"/>
        <v>993.03194723583204</v>
      </c>
      <c r="X331" s="231">
        <f t="shared" si="77"/>
        <v>594.26442670290464</v>
      </c>
      <c r="Y331" s="231">
        <f t="shared" si="78"/>
        <v>0</v>
      </c>
      <c r="Z331" s="232">
        <f t="shared" si="79"/>
        <v>993.03194723583204</v>
      </c>
      <c r="AA331" s="22">
        <f t="shared" si="76"/>
        <v>0</v>
      </c>
      <c r="AB331" s="424">
        <f t="shared" si="80"/>
        <v>0</v>
      </c>
      <c r="AC331" s="424">
        <f t="shared" si="81"/>
        <v>0</v>
      </c>
    </row>
    <row r="332" spans="1:29" s="269" customFormat="1" ht="14.25" customHeight="1" x14ac:dyDescent="0.25">
      <c r="A332" s="272"/>
      <c r="B332" s="276"/>
      <c r="C332" s="266"/>
      <c r="D332" s="354" t="s">
        <v>549</v>
      </c>
      <c r="E332" s="457"/>
      <c r="F332" s="268">
        <v>14.15</v>
      </c>
      <c r="G332" s="278"/>
      <c r="H332" s="151"/>
      <c r="I332" s="151"/>
      <c r="J332" s="151"/>
      <c r="R332" s="274">
        <f t="shared" si="82"/>
        <v>1587.2963739387367</v>
      </c>
      <c r="S332" s="274">
        <f t="shared" si="83"/>
        <v>594.26442670290464</v>
      </c>
      <c r="T332" s="443">
        <f t="shared" si="84"/>
        <v>650.3824138833827</v>
      </c>
      <c r="U332" s="445"/>
      <c r="V332" s="443">
        <f t="shared" si="71"/>
        <v>936.91396005535398</v>
      </c>
      <c r="W332" s="295">
        <f t="shared" si="85"/>
        <v>993.03194723583204</v>
      </c>
      <c r="X332" s="231">
        <f t="shared" si="77"/>
        <v>594.26442670290464</v>
      </c>
      <c r="Y332" s="231">
        <f t="shared" si="78"/>
        <v>0</v>
      </c>
      <c r="Z332" s="232">
        <f t="shared" si="79"/>
        <v>993.03194723583204</v>
      </c>
      <c r="AA332" s="22">
        <f t="shared" si="76"/>
        <v>0</v>
      </c>
      <c r="AB332" s="424">
        <f t="shared" si="80"/>
        <v>0</v>
      </c>
      <c r="AC332" s="424">
        <f t="shared" si="81"/>
        <v>0</v>
      </c>
    </row>
    <row r="333" spans="1:29" s="269" customFormat="1" ht="14.25" customHeight="1" x14ac:dyDescent="0.25">
      <c r="A333" s="272"/>
      <c r="B333" s="276"/>
      <c r="C333" s="266"/>
      <c r="D333" s="354" t="s">
        <v>550</v>
      </c>
      <c r="E333" s="457"/>
      <c r="F333" s="268">
        <v>13.2</v>
      </c>
      <c r="G333" s="278"/>
      <c r="H333" s="151"/>
      <c r="I333" s="151"/>
      <c r="J333" s="151"/>
      <c r="R333" s="274">
        <f t="shared" si="82"/>
        <v>1480.7287728615775</v>
      </c>
      <c r="S333" s="274">
        <f t="shared" si="83"/>
        <v>554.36681501613714</v>
      </c>
      <c r="T333" s="443">
        <f t="shared" si="84"/>
        <v>606.71716348131804</v>
      </c>
      <c r="U333" s="445"/>
      <c r="V333" s="443">
        <f t="shared" si="71"/>
        <v>874.01160938025942</v>
      </c>
      <c r="W333" s="295">
        <f t="shared" si="85"/>
        <v>926.36195784544032</v>
      </c>
      <c r="X333" s="231">
        <f t="shared" si="77"/>
        <v>554.36681501613714</v>
      </c>
      <c r="Y333" s="231">
        <f t="shared" si="78"/>
        <v>0</v>
      </c>
      <c r="Z333" s="232">
        <f t="shared" si="79"/>
        <v>926.36195784544032</v>
      </c>
      <c r="AA333" s="22">
        <f t="shared" si="76"/>
        <v>0</v>
      </c>
      <c r="AB333" s="424">
        <f t="shared" si="80"/>
        <v>0</v>
      </c>
      <c r="AC333" s="424">
        <f t="shared" si="81"/>
        <v>0</v>
      </c>
    </row>
    <row r="334" spans="1:29" s="269" customFormat="1" ht="14.25" customHeight="1" x14ac:dyDescent="0.25">
      <c r="A334" s="272"/>
      <c r="B334" s="276"/>
      <c r="C334" s="266"/>
      <c r="D334" s="354" t="s">
        <v>551</v>
      </c>
      <c r="E334" s="457"/>
      <c r="F334" s="268">
        <v>33.200000000000003</v>
      </c>
      <c r="G334" s="278"/>
      <c r="H334" s="151"/>
      <c r="I334" s="151"/>
      <c r="J334" s="151"/>
      <c r="R334" s="274">
        <f t="shared" si="82"/>
        <v>3724.2572165912411</v>
      </c>
      <c r="S334" s="274">
        <f t="shared" si="83"/>
        <v>1394.3165347375573</v>
      </c>
      <c r="T334" s="443">
        <f t="shared" si="84"/>
        <v>1525.9855929984667</v>
      </c>
      <c r="U334" s="445"/>
      <c r="V334" s="443">
        <f t="shared" si="71"/>
        <v>2198.2716235927746</v>
      </c>
      <c r="W334" s="295">
        <f t="shared" si="85"/>
        <v>2329.9406818536836</v>
      </c>
      <c r="X334" s="231">
        <f t="shared" si="77"/>
        <v>1394.3165347375573</v>
      </c>
      <c r="Y334" s="231">
        <f t="shared" si="78"/>
        <v>0</v>
      </c>
      <c r="Z334" s="232">
        <f t="shared" si="79"/>
        <v>2329.9406818536836</v>
      </c>
      <c r="AA334" s="22">
        <f t="shared" si="76"/>
        <v>0</v>
      </c>
      <c r="AB334" s="424">
        <f t="shared" si="80"/>
        <v>0</v>
      </c>
      <c r="AC334" s="424">
        <f t="shared" si="81"/>
        <v>0</v>
      </c>
    </row>
    <row r="335" spans="1:29" s="269" customFormat="1" ht="14.25" customHeight="1" x14ac:dyDescent="0.25">
      <c r="A335" s="272"/>
      <c r="B335" s="276"/>
      <c r="C335" s="266"/>
      <c r="D335" s="354" t="s">
        <v>552</v>
      </c>
      <c r="E335" s="457"/>
      <c r="F335" s="268">
        <v>48.9</v>
      </c>
      <c r="G335" s="278"/>
      <c r="H335" s="151"/>
      <c r="I335" s="151"/>
      <c r="J335" s="151"/>
      <c r="R335" s="274">
        <f t="shared" si="82"/>
        <v>5485.4270449190262</v>
      </c>
      <c r="S335" s="274">
        <f t="shared" si="83"/>
        <v>2053.6770647188719</v>
      </c>
      <c r="T335" s="443">
        <f t="shared" si="84"/>
        <v>2247.6113101694282</v>
      </c>
      <c r="U335" s="445"/>
      <c r="V335" s="443">
        <f t="shared" si="71"/>
        <v>3237.8157347495981</v>
      </c>
      <c r="W335" s="295">
        <f t="shared" si="85"/>
        <v>3431.7499802001544</v>
      </c>
      <c r="X335" s="231">
        <f t="shared" si="77"/>
        <v>2053.6770647188719</v>
      </c>
      <c r="Y335" s="231">
        <f t="shared" si="78"/>
        <v>0</v>
      </c>
      <c r="Z335" s="232">
        <f t="shared" si="79"/>
        <v>3431.7499802001544</v>
      </c>
      <c r="AA335" s="22">
        <f t="shared" si="76"/>
        <v>0</v>
      </c>
      <c r="AB335" s="424">
        <f t="shared" si="80"/>
        <v>0</v>
      </c>
      <c r="AC335" s="424">
        <f t="shared" si="81"/>
        <v>0</v>
      </c>
    </row>
    <row r="336" spans="1:29" s="269" customFormat="1" ht="14.25" customHeight="1" x14ac:dyDescent="0.25">
      <c r="A336" s="272"/>
      <c r="B336" s="276"/>
      <c r="C336" s="266"/>
      <c r="D336" s="354"/>
      <c r="E336" s="457"/>
      <c r="F336" s="268"/>
      <c r="G336" s="278"/>
      <c r="H336" s="151"/>
      <c r="I336" s="151"/>
      <c r="J336" s="151"/>
      <c r="R336" s="274"/>
      <c r="S336" s="274"/>
      <c r="T336" s="274"/>
      <c r="U336" s="274"/>
      <c r="V336" s="274"/>
      <c r="W336" s="274">
        <f t="shared" ref="W336:AC336" si="86">SUM(W328:W335)</f>
        <v>18763.742171904196</v>
      </c>
      <c r="X336" s="274">
        <f t="shared" si="86"/>
        <v>11228.867828095803</v>
      </c>
      <c r="Y336" s="274">
        <f t="shared" si="86"/>
        <v>0</v>
      </c>
      <c r="Z336" s="274">
        <f t="shared" si="86"/>
        <v>18763.742171904196</v>
      </c>
      <c r="AA336" s="274">
        <f t="shared" si="86"/>
        <v>0</v>
      </c>
      <c r="AB336" s="274">
        <f t="shared" si="86"/>
        <v>0</v>
      </c>
      <c r="AC336" s="274">
        <f t="shared" si="86"/>
        <v>0</v>
      </c>
    </row>
    <row r="337" spans="1:29" s="149" customFormat="1" ht="14.25" customHeight="1" x14ac:dyDescent="0.25">
      <c r="A337" s="152"/>
      <c r="B337" s="143"/>
      <c r="C337" s="154"/>
      <c r="D337" s="143"/>
      <c r="E337" s="170"/>
      <c r="F337" s="158"/>
      <c r="G337" s="142"/>
      <c r="H337" s="157"/>
      <c r="I337" s="157"/>
      <c r="J337" s="157"/>
      <c r="K337" s="171"/>
      <c r="L337" s="171"/>
      <c r="M337" s="171"/>
      <c r="N337" s="171"/>
      <c r="O337" s="171"/>
      <c r="P337" s="171"/>
      <c r="Q337" s="171"/>
      <c r="R337" s="213"/>
      <c r="S337" s="213"/>
      <c r="T337" s="443"/>
      <c r="U337" s="445"/>
      <c r="V337" s="443"/>
      <c r="W337" s="214"/>
      <c r="X337" s="231">
        <f t="shared" si="77"/>
        <v>0</v>
      </c>
      <c r="Y337" s="231">
        <f t="shared" si="78"/>
        <v>0</v>
      </c>
      <c r="Z337" s="232">
        <f t="shared" si="79"/>
        <v>0</v>
      </c>
      <c r="AA337" s="22">
        <f t="shared" si="76"/>
        <v>0</v>
      </c>
      <c r="AB337" s="424">
        <f t="shared" si="80"/>
        <v>0</v>
      </c>
      <c r="AC337" s="424">
        <f t="shared" si="81"/>
        <v>0</v>
      </c>
    </row>
    <row r="338" spans="1:29" s="287" customFormat="1" ht="14.25" customHeight="1" x14ac:dyDescent="0.25">
      <c r="A338" s="316">
        <f>SUM(A326+1)</f>
        <v>87</v>
      </c>
      <c r="B338" s="356" t="s">
        <v>162</v>
      </c>
      <c r="C338" s="317">
        <v>346</v>
      </c>
      <c r="D338" s="356" t="s">
        <v>128</v>
      </c>
      <c r="E338" s="318">
        <v>34</v>
      </c>
      <c r="F338" s="321">
        <v>94.45</v>
      </c>
      <c r="G338" s="309">
        <v>1993</v>
      </c>
      <c r="H338" s="310">
        <f>SUM(Лист1!G98)</f>
        <v>3570.96</v>
      </c>
      <c r="I338" s="310">
        <f>SUM(Лист1!H98)</f>
        <v>1013.14</v>
      </c>
      <c r="J338" s="310">
        <f>SUM(Лист1!I98)</f>
        <v>1.17</v>
      </c>
      <c r="K338" s="311"/>
      <c r="L338" s="311"/>
      <c r="M338" s="311"/>
      <c r="N338" s="311"/>
      <c r="O338" s="311"/>
      <c r="P338" s="311"/>
      <c r="Q338" s="311"/>
      <c r="R338" s="314">
        <f t="shared" si="73"/>
        <v>3570.96</v>
      </c>
      <c r="S338" s="231">
        <f>SUM(I338+O338-J338)</f>
        <v>1011.97</v>
      </c>
      <c r="T338" s="443">
        <f>S338-3*U338</f>
        <v>1008.46</v>
      </c>
      <c r="U338" s="445">
        <f t="shared" ref="U338:U395" si="87">J338+P338</f>
        <v>1.17</v>
      </c>
      <c r="V338" s="443">
        <f t="shared" ref="V338:V398" si="88">R338-T338</f>
        <v>2562.5</v>
      </c>
      <c r="W338" s="312">
        <f t="shared" si="64"/>
        <v>2558.9899999999998</v>
      </c>
      <c r="X338" s="231">
        <f t="shared" si="77"/>
        <v>1010.8000000000001</v>
      </c>
      <c r="Y338" s="231">
        <f t="shared" si="78"/>
        <v>1.17</v>
      </c>
      <c r="Z338" s="232">
        <f t="shared" si="79"/>
        <v>2560.16</v>
      </c>
      <c r="AA338" s="22">
        <f t="shared" si="76"/>
        <v>0</v>
      </c>
      <c r="AB338" s="424">
        <f t="shared" si="80"/>
        <v>-4.0856207306205761E-14</v>
      </c>
      <c r="AC338" s="424">
        <f t="shared" si="81"/>
        <v>0</v>
      </c>
    </row>
    <row r="339" spans="1:29" s="269" customFormat="1" ht="14.25" customHeight="1" x14ac:dyDescent="0.25">
      <c r="A339" s="272"/>
      <c r="B339" s="276"/>
      <c r="C339" s="266"/>
      <c r="D339" s="296" t="s">
        <v>474</v>
      </c>
      <c r="E339" s="267"/>
      <c r="F339" s="277">
        <v>94.45</v>
      </c>
      <c r="G339" s="265"/>
      <c r="H339" s="151"/>
      <c r="I339" s="151"/>
      <c r="J339" s="151"/>
      <c r="R339" s="274"/>
      <c r="S339" s="274"/>
      <c r="T339" s="443"/>
      <c r="U339" s="445"/>
      <c r="V339" s="443"/>
      <c r="W339" s="295"/>
      <c r="X339" s="231">
        <f t="shared" si="77"/>
        <v>0</v>
      </c>
      <c r="Y339" s="231">
        <f t="shared" si="78"/>
        <v>0</v>
      </c>
      <c r="Z339" s="232">
        <f t="shared" si="79"/>
        <v>0</v>
      </c>
      <c r="AA339" s="22">
        <f t="shared" si="76"/>
        <v>0</v>
      </c>
      <c r="AB339" s="424">
        <f t="shared" si="80"/>
        <v>0</v>
      </c>
      <c r="AC339" s="424">
        <f t="shared" si="81"/>
        <v>0</v>
      </c>
    </row>
    <row r="340" spans="1:29" s="269" customFormat="1" ht="14.25" customHeight="1" x14ac:dyDescent="0.25">
      <c r="A340" s="340"/>
      <c r="B340" s="293"/>
      <c r="C340" s="341"/>
      <c r="D340" s="293"/>
      <c r="E340" s="294"/>
      <c r="F340" s="355"/>
      <c r="G340" s="349"/>
      <c r="H340" s="344"/>
      <c r="I340" s="344"/>
      <c r="J340" s="344"/>
      <c r="K340" s="345"/>
      <c r="L340" s="345"/>
      <c r="M340" s="345"/>
      <c r="N340" s="345"/>
      <c r="O340" s="345"/>
      <c r="P340" s="345"/>
      <c r="Q340" s="345"/>
      <c r="R340" s="322"/>
      <c r="S340" s="322"/>
      <c r="T340" s="443"/>
      <c r="U340" s="445"/>
      <c r="V340" s="443"/>
      <c r="W340" s="347"/>
      <c r="X340" s="231">
        <f t="shared" si="77"/>
        <v>0</v>
      </c>
      <c r="Y340" s="231">
        <f t="shared" si="78"/>
        <v>0</v>
      </c>
      <c r="Z340" s="232">
        <f t="shared" si="79"/>
        <v>0</v>
      </c>
      <c r="AA340" s="22">
        <f t="shared" si="76"/>
        <v>0</v>
      </c>
      <c r="AB340" s="424">
        <f t="shared" si="80"/>
        <v>0</v>
      </c>
      <c r="AC340" s="424">
        <f t="shared" si="81"/>
        <v>0</v>
      </c>
    </row>
    <row r="341" spans="1:29" s="287" customFormat="1" ht="14.25" customHeight="1" x14ac:dyDescent="0.25">
      <c r="A341" s="313">
        <f>SUM(A338+1)</f>
        <v>88</v>
      </c>
      <c r="B341" s="307" t="s">
        <v>163</v>
      </c>
      <c r="C341" s="348">
        <v>347</v>
      </c>
      <c r="D341" s="307" t="s">
        <v>128</v>
      </c>
      <c r="E341" s="465" t="s">
        <v>164</v>
      </c>
      <c r="F341" s="308">
        <v>74.900000000000006</v>
      </c>
      <c r="G341" s="339">
        <v>1994</v>
      </c>
      <c r="H341" s="310">
        <f>SUM(Лист1!G99)</f>
        <v>53221.1</v>
      </c>
      <c r="I341" s="310">
        <f>SUM(Лист1!H99)</f>
        <v>21966.1</v>
      </c>
      <c r="J341" s="310">
        <f>SUM(Лист1!I99)</f>
        <v>25.05</v>
      </c>
      <c r="K341" s="311"/>
      <c r="L341" s="311"/>
      <c r="M341" s="311"/>
      <c r="N341" s="311"/>
      <c r="O341" s="311"/>
      <c r="P341" s="311"/>
      <c r="Q341" s="311"/>
      <c r="R341" s="314">
        <f t="shared" si="73"/>
        <v>53221.1</v>
      </c>
      <c r="S341" s="231">
        <f>SUM(I341+O341-J341)</f>
        <v>21941.05</v>
      </c>
      <c r="T341" s="443">
        <f>S341-3*U341</f>
        <v>21865.899999999998</v>
      </c>
      <c r="U341" s="445">
        <f t="shared" si="87"/>
        <v>25.05</v>
      </c>
      <c r="V341" s="443">
        <f t="shared" si="88"/>
        <v>31355.200000000001</v>
      </c>
      <c r="W341" s="312">
        <f t="shared" si="64"/>
        <v>31280.05</v>
      </c>
      <c r="X341" s="231">
        <f t="shared" si="77"/>
        <v>21916</v>
      </c>
      <c r="Y341" s="231">
        <f t="shared" si="78"/>
        <v>25.05</v>
      </c>
      <c r="Z341" s="232">
        <f t="shared" si="79"/>
        <v>31305.1</v>
      </c>
      <c r="AA341" s="22">
        <f t="shared" si="76"/>
        <v>0</v>
      </c>
      <c r="AB341" s="424">
        <f t="shared" si="80"/>
        <v>-7.2830630415410269E-13</v>
      </c>
      <c r="AC341" s="424">
        <f t="shared" si="81"/>
        <v>0</v>
      </c>
    </row>
    <row r="342" spans="1:29" s="185" customFormat="1" ht="14.25" customHeight="1" x14ac:dyDescent="0.25">
      <c r="A342" s="188"/>
      <c r="B342" s="189"/>
      <c r="C342" s="183"/>
      <c r="D342" s="291" t="s">
        <v>506</v>
      </c>
      <c r="E342" s="467"/>
      <c r="F342" s="264">
        <v>74.900000000000006</v>
      </c>
      <c r="G342" s="290"/>
      <c r="H342" s="184"/>
      <c r="I342" s="184"/>
      <c r="J342" s="184"/>
      <c r="R342" s="219"/>
      <c r="S342" s="219"/>
      <c r="T342" s="443"/>
      <c r="U342" s="445"/>
      <c r="V342" s="443"/>
      <c r="W342" s="220"/>
      <c r="X342" s="231">
        <f t="shared" si="77"/>
        <v>0</v>
      </c>
      <c r="Y342" s="231">
        <f t="shared" si="78"/>
        <v>0</v>
      </c>
      <c r="Z342" s="232">
        <f t="shared" si="79"/>
        <v>0</v>
      </c>
      <c r="AA342" s="22">
        <f t="shared" si="76"/>
        <v>0</v>
      </c>
      <c r="AB342" s="424">
        <f t="shared" si="80"/>
        <v>0</v>
      </c>
      <c r="AC342" s="424">
        <f t="shared" si="81"/>
        <v>0</v>
      </c>
    </row>
    <row r="343" spans="1:29" s="149" customFormat="1" ht="14.25" customHeight="1" x14ac:dyDescent="0.25">
      <c r="A343" s="152"/>
      <c r="B343" s="143"/>
      <c r="C343" s="154"/>
      <c r="D343" s="143"/>
      <c r="E343" s="166"/>
      <c r="F343" s="158"/>
      <c r="G343" s="142"/>
      <c r="H343" s="157"/>
      <c r="I343" s="157"/>
      <c r="J343" s="157"/>
      <c r="K343" s="171"/>
      <c r="L343" s="171"/>
      <c r="M343" s="171"/>
      <c r="N343" s="171"/>
      <c r="O343" s="171"/>
      <c r="P343" s="171"/>
      <c r="Q343" s="171"/>
      <c r="R343" s="213"/>
      <c r="S343" s="213"/>
      <c r="T343" s="443"/>
      <c r="U343" s="445"/>
      <c r="V343" s="443"/>
      <c r="W343" s="214"/>
      <c r="X343" s="231">
        <f t="shared" si="77"/>
        <v>0</v>
      </c>
      <c r="Y343" s="231">
        <f t="shared" si="78"/>
        <v>0</v>
      </c>
      <c r="Z343" s="232">
        <f t="shared" si="79"/>
        <v>0</v>
      </c>
      <c r="AA343" s="22">
        <f t="shared" si="76"/>
        <v>0</v>
      </c>
      <c r="AB343" s="424">
        <f t="shared" si="80"/>
        <v>0</v>
      </c>
      <c r="AC343" s="424">
        <f t="shared" si="81"/>
        <v>0</v>
      </c>
    </row>
    <row r="344" spans="1:29" s="185" customFormat="1" ht="14.25" customHeight="1" x14ac:dyDescent="0.25">
      <c r="A344" s="330">
        <f>SUM(A341+1)</f>
        <v>89</v>
      </c>
      <c r="B344" s="323" t="s">
        <v>165</v>
      </c>
      <c r="C344" s="452">
        <v>348</v>
      </c>
      <c r="D344" s="323" t="s">
        <v>77</v>
      </c>
      <c r="E344" s="456">
        <v>248</v>
      </c>
      <c r="F344" s="324">
        <f>F346+F347+F348+F349+F350</f>
        <v>98.699999999999989</v>
      </c>
      <c r="G344" s="331">
        <v>1980</v>
      </c>
      <c r="H344" s="326">
        <f>SUM(Лист1!G100)</f>
        <v>120179.75</v>
      </c>
      <c r="I344" s="326">
        <f>SUM(Лист1!H100)</f>
        <v>45743.71</v>
      </c>
      <c r="J344" s="326">
        <f>SUM(Лист1!I100)</f>
        <v>64.81</v>
      </c>
      <c r="K344" s="327"/>
      <c r="L344" s="327"/>
      <c r="M344" s="327"/>
      <c r="N344" s="327"/>
      <c r="O344" s="327"/>
      <c r="P344" s="327"/>
      <c r="Q344" s="327"/>
      <c r="R344" s="332">
        <f t="shared" si="73"/>
        <v>120179.75</v>
      </c>
      <c r="S344" s="231">
        <f>SUM(I344+O344-J344)</f>
        <v>45678.9</v>
      </c>
      <c r="T344" s="443">
        <f>S344-3*U344</f>
        <v>45484.47</v>
      </c>
      <c r="U344" s="445">
        <f t="shared" si="87"/>
        <v>64.81</v>
      </c>
      <c r="V344" s="443">
        <f t="shared" si="88"/>
        <v>74695.28</v>
      </c>
      <c r="W344" s="332">
        <f t="shared" si="64"/>
        <v>74500.850000000006</v>
      </c>
      <c r="X344" s="231">
        <f t="shared" si="77"/>
        <v>45614.090000000004</v>
      </c>
      <c r="Y344" s="231">
        <f t="shared" si="78"/>
        <v>64.81</v>
      </c>
      <c r="Z344" s="232">
        <f t="shared" si="79"/>
        <v>74565.66</v>
      </c>
      <c r="AA344" s="22">
        <f t="shared" si="76"/>
        <v>0</v>
      </c>
      <c r="AB344" s="424">
        <f t="shared" si="80"/>
        <v>-2.3305801732931286E-12</v>
      </c>
      <c r="AC344" s="424">
        <f t="shared" si="81"/>
        <v>0</v>
      </c>
    </row>
    <row r="345" spans="1:29" s="269" customFormat="1" ht="14.25" customHeight="1" x14ac:dyDescent="0.25">
      <c r="A345" s="272"/>
      <c r="B345" s="276"/>
      <c r="C345" s="266"/>
      <c r="D345" s="296" t="s">
        <v>518</v>
      </c>
      <c r="E345" s="457"/>
      <c r="F345" s="268"/>
      <c r="G345" s="278"/>
      <c r="H345" s="151"/>
      <c r="I345" s="151"/>
      <c r="J345" s="151"/>
      <c r="R345" s="274"/>
      <c r="S345" s="274"/>
      <c r="T345" s="443"/>
      <c r="U345" s="445"/>
      <c r="V345" s="443"/>
      <c r="W345" s="274"/>
      <c r="X345" s="231">
        <f t="shared" si="77"/>
        <v>0</v>
      </c>
      <c r="Y345" s="231">
        <f t="shared" si="78"/>
        <v>0</v>
      </c>
      <c r="Z345" s="232">
        <f t="shared" si="79"/>
        <v>0</v>
      </c>
      <c r="AA345" s="22">
        <f t="shared" si="76"/>
        <v>0</v>
      </c>
      <c r="AB345" s="424">
        <f t="shared" si="80"/>
        <v>0</v>
      </c>
      <c r="AC345" s="424">
        <f t="shared" si="81"/>
        <v>0</v>
      </c>
    </row>
    <row r="346" spans="1:29" s="269" customFormat="1" ht="14.25" customHeight="1" x14ac:dyDescent="0.25">
      <c r="A346" s="272"/>
      <c r="B346" s="276"/>
      <c r="C346" s="266"/>
      <c r="D346" s="478" t="s">
        <v>553</v>
      </c>
      <c r="E346" s="457"/>
      <c r="F346" s="268">
        <v>30.9</v>
      </c>
      <c r="G346" s="278"/>
      <c r="H346" s="151"/>
      <c r="I346" s="151"/>
      <c r="J346" s="151"/>
      <c r="R346" s="274">
        <f>$R$344/$F$344*F346</f>
        <v>37624.663373860189</v>
      </c>
      <c r="S346" s="274">
        <f>45678.9/98.7*F346</f>
        <v>14300.689057750758</v>
      </c>
      <c r="T346" s="443">
        <f>$T$344/$F$344*F346</f>
        <v>14239.81887537994</v>
      </c>
      <c r="U346" s="445"/>
      <c r="V346" s="443">
        <f t="shared" si="88"/>
        <v>23384.844498480248</v>
      </c>
      <c r="W346" s="274">
        <f>SUM(R346-S346)</f>
        <v>23323.97431610943</v>
      </c>
      <c r="X346" s="231">
        <f t="shared" si="77"/>
        <v>14300.689057750758</v>
      </c>
      <c r="Y346" s="231">
        <f t="shared" si="78"/>
        <v>0</v>
      </c>
      <c r="Z346" s="232">
        <f t="shared" si="79"/>
        <v>23323.97431610943</v>
      </c>
      <c r="AA346" s="22">
        <f t="shared" si="76"/>
        <v>0</v>
      </c>
      <c r="AB346" s="424">
        <f t="shared" si="80"/>
        <v>0</v>
      </c>
      <c r="AC346" s="424">
        <f t="shared" si="81"/>
        <v>0</v>
      </c>
    </row>
    <row r="347" spans="1:29" s="269" customFormat="1" ht="14.25" customHeight="1" x14ac:dyDescent="0.25">
      <c r="A347" s="272"/>
      <c r="B347" s="276"/>
      <c r="C347" s="266"/>
      <c r="D347" s="478" t="s">
        <v>519</v>
      </c>
      <c r="E347" s="457"/>
      <c r="F347" s="268">
        <v>22.6</v>
      </c>
      <c r="G347" s="278"/>
      <c r="H347" s="151"/>
      <c r="I347" s="151"/>
      <c r="J347" s="151"/>
      <c r="R347" s="274">
        <f t="shared" ref="R347:R349" si="89">$R$344/$F$344*F347</f>
        <v>27518.362208713279</v>
      </c>
      <c r="S347" s="274">
        <f t="shared" ref="S347:S349" si="90">45678.9/98.7*F347</f>
        <v>10459.403647416413</v>
      </c>
      <c r="T347" s="443">
        <f t="shared" ref="T347:T349" si="91">$T$344/$F$344*F347</f>
        <v>10414.883708206689</v>
      </c>
      <c r="U347" s="445"/>
      <c r="V347" s="443">
        <f t="shared" si="88"/>
        <v>17103.47850050659</v>
      </c>
      <c r="W347" s="274">
        <f t="shared" ref="W347:W350" si="92">SUM(R347-S347)</f>
        <v>17058.958561296866</v>
      </c>
      <c r="X347" s="231">
        <f t="shared" si="77"/>
        <v>10459.403647416413</v>
      </c>
      <c r="Y347" s="231">
        <f t="shared" si="78"/>
        <v>0</v>
      </c>
      <c r="Z347" s="232">
        <f t="shared" si="79"/>
        <v>17058.958561296866</v>
      </c>
      <c r="AA347" s="22">
        <f t="shared" si="76"/>
        <v>0</v>
      </c>
      <c r="AB347" s="424">
        <f t="shared" si="80"/>
        <v>0</v>
      </c>
      <c r="AC347" s="424">
        <f t="shared" si="81"/>
        <v>0</v>
      </c>
    </row>
    <row r="348" spans="1:29" s="269" customFormat="1" ht="14.25" customHeight="1" x14ac:dyDescent="0.25">
      <c r="A348" s="272"/>
      <c r="B348" s="276"/>
      <c r="C348" s="266"/>
      <c r="D348" s="478" t="s">
        <v>554</v>
      </c>
      <c r="E348" s="457"/>
      <c r="F348" s="268">
        <v>22.8</v>
      </c>
      <c r="G348" s="278"/>
      <c r="H348" s="151"/>
      <c r="I348" s="151"/>
      <c r="J348" s="151"/>
      <c r="R348" s="274">
        <f t="shared" si="89"/>
        <v>27761.887537993927</v>
      </c>
      <c r="S348" s="274">
        <f t="shared" si="90"/>
        <v>10551.964741641337</v>
      </c>
      <c r="T348" s="443">
        <f t="shared" si="91"/>
        <v>10507.050820668695</v>
      </c>
      <c r="U348" s="445"/>
      <c r="V348" s="443">
        <f t="shared" si="88"/>
        <v>17254.836717325234</v>
      </c>
      <c r="W348" s="274">
        <f t="shared" si="92"/>
        <v>17209.922796352592</v>
      </c>
      <c r="X348" s="231">
        <f t="shared" si="77"/>
        <v>10551.964741641337</v>
      </c>
      <c r="Y348" s="231">
        <f t="shared" si="78"/>
        <v>0</v>
      </c>
      <c r="Z348" s="232">
        <f t="shared" si="79"/>
        <v>17209.922796352592</v>
      </c>
      <c r="AA348" s="22">
        <f t="shared" si="76"/>
        <v>0</v>
      </c>
      <c r="AB348" s="424">
        <f t="shared" si="80"/>
        <v>0</v>
      </c>
      <c r="AC348" s="424">
        <f t="shared" si="81"/>
        <v>0</v>
      </c>
    </row>
    <row r="349" spans="1:29" s="269" customFormat="1" ht="14.25" customHeight="1" x14ac:dyDescent="0.25">
      <c r="A349" s="272"/>
      <c r="B349" s="276"/>
      <c r="C349" s="266"/>
      <c r="D349" s="478" t="s">
        <v>520</v>
      </c>
      <c r="E349" s="457"/>
      <c r="F349" s="268">
        <v>22.4</v>
      </c>
      <c r="G349" s="278"/>
      <c r="H349" s="151"/>
      <c r="I349" s="151"/>
      <c r="J349" s="151"/>
      <c r="R349" s="274">
        <f t="shared" si="89"/>
        <v>27274.836879432627</v>
      </c>
      <c r="S349" s="274">
        <f t="shared" si="90"/>
        <v>10366.842553191489</v>
      </c>
      <c r="T349" s="443">
        <f t="shared" si="91"/>
        <v>10322.716595744681</v>
      </c>
      <c r="U349" s="445"/>
      <c r="V349" s="443">
        <f t="shared" si="88"/>
        <v>16952.120283687946</v>
      </c>
      <c r="W349" s="274">
        <f t="shared" si="92"/>
        <v>16907.99432624114</v>
      </c>
      <c r="X349" s="231">
        <f t="shared" si="77"/>
        <v>10366.842553191489</v>
      </c>
      <c r="Y349" s="231">
        <f t="shared" si="78"/>
        <v>0</v>
      </c>
      <c r="Z349" s="232">
        <f t="shared" si="79"/>
        <v>16907.99432624114</v>
      </c>
      <c r="AA349" s="22">
        <f t="shared" si="76"/>
        <v>0</v>
      </c>
      <c r="AB349" s="424">
        <f t="shared" si="80"/>
        <v>0</v>
      </c>
      <c r="AC349" s="424">
        <f t="shared" si="81"/>
        <v>0</v>
      </c>
    </row>
    <row r="350" spans="1:29" s="177" customFormat="1" ht="14.25" hidden="1" customHeight="1" x14ac:dyDescent="0.25">
      <c r="A350" s="180"/>
      <c r="B350" s="187"/>
      <c r="C350" s="178"/>
      <c r="D350" s="483" t="s">
        <v>532</v>
      </c>
      <c r="E350" s="468"/>
      <c r="F350" s="186">
        <v>0</v>
      </c>
      <c r="G350" s="333"/>
      <c r="H350" s="176"/>
      <c r="I350" s="176"/>
      <c r="J350" s="176"/>
      <c r="R350" s="274">
        <f t="shared" ref="R350" si="93">120179.75/98.7*F350</f>
        <v>0</v>
      </c>
      <c r="S350" s="274">
        <f t="shared" ref="S350" si="94">45743.71/98.7*F350</f>
        <v>0</v>
      </c>
      <c r="T350" s="443">
        <f t="shared" ref="T350" si="95">S350-U350</f>
        <v>0</v>
      </c>
      <c r="U350" s="445"/>
      <c r="V350" s="443">
        <f t="shared" si="88"/>
        <v>0</v>
      </c>
      <c r="W350" s="274">
        <f t="shared" si="92"/>
        <v>0</v>
      </c>
      <c r="X350" s="231">
        <f t="shared" si="77"/>
        <v>0</v>
      </c>
      <c r="Y350" s="231">
        <f t="shared" si="78"/>
        <v>0</v>
      </c>
      <c r="Z350" s="232">
        <f t="shared" si="79"/>
        <v>0</v>
      </c>
      <c r="AA350" s="22">
        <f t="shared" si="76"/>
        <v>0</v>
      </c>
      <c r="AB350" s="424">
        <f t="shared" si="80"/>
        <v>0</v>
      </c>
      <c r="AC350" s="424">
        <f t="shared" si="81"/>
        <v>0</v>
      </c>
    </row>
    <row r="351" spans="1:29" s="149" customFormat="1" ht="14.25" customHeight="1" x14ac:dyDescent="0.25">
      <c r="A351" s="152"/>
      <c r="B351" s="143"/>
      <c r="C351" s="154"/>
      <c r="D351" s="143"/>
      <c r="E351" s="170"/>
      <c r="F351" s="158"/>
      <c r="G351" s="142"/>
      <c r="H351" s="157"/>
      <c r="I351" s="157"/>
      <c r="J351" s="157"/>
      <c r="K351" s="171"/>
      <c r="L351" s="171"/>
      <c r="M351" s="171"/>
      <c r="N351" s="171"/>
      <c r="O351" s="171"/>
      <c r="P351" s="171"/>
      <c r="Q351" s="171"/>
      <c r="R351" s="213"/>
      <c r="S351" s="213"/>
      <c r="T351" s="443"/>
      <c r="U351" s="445"/>
      <c r="V351" s="443"/>
      <c r="W351" s="213"/>
      <c r="X351" s="231">
        <f t="shared" si="77"/>
        <v>0</v>
      </c>
      <c r="Y351" s="231">
        <f t="shared" si="78"/>
        <v>0</v>
      </c>
      <c r="Z351" s="232">
        <f t="shared" si="79"/>
        <v>0</v>
      </c>
      <c r="AA351" s="22">
        <f t="shared" si="76"/>
        <v>0</v>
      </c>
      <c r="AB351" s="424">
        <f t="shared" si="80"/>
        <v>0</v>
      </c>
      <c r="AC351" s="424">
        <f t="shared" si="81"/>
        <v>0</v>
      </c>
    </row>
    <row r="352" spans="1:29" s="257" customFormat="1" ht="14.25" customHeight="1" x14ac:dyDescent="0.25">
      <c r="A352" s="224">
        <f>SUM(A344+1)</f>
        <v>90</v>
      </c>
      <c r="B352" s="225" t="s">
        <v>166</v>
      </c>
      <c r="C352" s="226">
        <v>350</v>
      </c>
      <c r="D352" s="225" t="s">
        <v>167</v>
      </c>
      <c r="E352" s="454">
        <v>12</v>
      </c>
      <c r="F352" s="252">
        <f>F354+F355+F356+F357</f>
        <v>278.5</v>
      </c>
      <c r="G352" s="248">
        <v>1992</v>
      </c>
      <c r="H352" s="237">
        <f>SUM(Лист1!G101)</f>
        <v>476960.53</v>
      </c>
      <c r="I352" s="237">
        <f>SUM(Лист1!H101)</f>
        <v>168333.48</v>
      </c>
      <c r="J352" s="237">
        <f>SUM(Лист1!I101)</f>
        <v>198.46</v>
      </c>
      <c r="K352" s="261"/>
      <c r="L352" s="261"/>
      <c r="M352" s="261"/>
      <c r="N352" s="252">
        <v>5722.06</v>
      </c>
      <c r="O352" s="252">
        <v>2807.16</v>
      </c>
      <c r="P352" s="259">
        <v>3.18</v>
      </c>
      <c r="Q352" s="261"/>
      <c r="R352" s="231">
        <f t="shared" ref="R352" si="96">SUM(H352+N352)</f>
        <v>482682.59</v>
      </c>
      <c r="S352" s="231">
        <f>SUM(I352+O352-J352)</f>
        <v>170942.18000000002</v>
      </c>
      <c r="T352" s="443">
        <f>S352-3*U352</f>
        <v>170337.26</v>
      </c>
      <c r="U352" s="445">
        <f t="shared" si="87"/>
        <v>201.64000000000001</v>
      </c>
      <c r="V352" s="443">
        <f t="shared" si="88"/>
        <v>312345.33</v>
      </c>
      <c r="W352" s="238">
        <f t="shared" si="64"/>
        <v>311740.41000000003</v>
      </c>
      <c r="X352" s="231">
        <f t="shared" si="77"/>
        <v>170740.54</v>
      </c>
      <c r="Y352" s="231">
        <f t="shared" si="78"/>
        <v>201.64000000000001</v>
      </c>
      <c r="Z352" s="232">
        <f t="shared" si="79"/>
        <v>311942.05000000005</v>
      </c>
      <c r="AA352" s="22">
        <f t="shared" si="76"/>
        <v>0</v>
      </c>
      <c r="AB352" s="424">
        <f t="shared" si="80"/>
        <v>1.3955059330328368E-11</v>
      </c>
      <c r="AC352" s="424">
        <f t="shared" si="81"/>
        <v>0</v>
      </c>
    </row>
    <row r="353" spans="1:29" s="269" customFormat="1" ht="14.25" customHeight="1" x14ac:dyDescent="0.25">
      <c r="A353" s="272"/>
      <c r="B353" s="276"/>
      <c r="C353" s="266"/>
      <c r="D353" s="296" t="s">
        <v>518</v>
      </c>
      <c r="E353" s="457"/>
      <c r="F353" s="268"/>
      <c r="G353" s="278"/>
      <c r="H353" s="151"/>
      <c r="I353" s="151"/>
      <c r="J353" s="151"/>
      <c r="N353" s="268"/>
      <c r="O353" s="268"/>
      <c r="P353" s="315"/>
      <c r="R353" s="274"/>
      <c r="S353" s="274"/>
      <c r="T353" s="443"/>
      <c r="U353" s="445"/>
      <c r="V353" s="443"/>
      <c r="W353" s="295"/>
      <c r="X353" s="231">
        <f t="shared" si="77"/>
        <v>0</v>
      </c>
      <c r="Y353" s="231">
        <f t="shared" si="78"/>
        <v>0</v>
      </c>
      <c r="Z353" s="232">
        <f t="shared" si="79"/>
        <v>0</v>
      </c>
      <c r="AA353" s="22">
        <f t="shared" si="76"/>
        <v>0</v>
      </c>
      <c r="AB353" s="424">
        <f t="shared" si="80"/>
        <v>0</v>
      </c>
      <c r="AC353" s="424">
        <f t="shared" si="81"/>
        <v>0</v>
      </c>
    </row>
    <row r="354" spans="1:29" s="269" customFormat="1" ht="14.25" customHeight="1" x14ac:dyDescent="0.25">
      <c r="A354" s="272"/>
      <c r="B354" s="276"/>
      <c r="C354" s="266"/>
      <c r="D354" s="478" t="s">
        <v>555</v>
      </c>
      <c r="E354" s="457"/>
      <c r="F354" s="268">
        <v>81.7</v>
      </c>
      <c r="G354" s="278"/>
      <c r="H354" s="151"/>
      <c r="I354" s="151"/>
      <c r="J354" s="151"/>
      <c r="N354" s="268"/>
      <c r="O354" s="268"/>
      <c r="P354" s="315"/>
      <c r="R354" s="274">
        <f>$R$352/$F$352*F354</f>
        <v>141598.44740754043</v>
      </c>
      <c r="S354" s="274">
        <f>170942.18/278.5*F354</f>
        <v>50147.131439856377</v>
      </c>
      <c r="T354" s="443">
        <f>$T$352/$F$352*F354</f>
        <v>49969.673759425496</v>
      </c>
      <c r="U354" s="445"/>
      <c r="V354" s="443">
        <f t="shared" si="88"/>
        <v>91628.773648114933</v>
      </c>
      <c r="W354" s="295">
        <f>SUM(R354-S354)</f>
        <v>91451.315967684059</v>
      </c>
      <c r="X354" s="231">
        <f t="shared" si="77"/>
        <v>50147.131439856377</v>
      </c>
      <c r="Y354" s="231">
        <f t="shared" si="78"/>
        <v>0</v>
      </c>
      <c r="Z354" s="232">
        <f t="shared" si="79"/>
        <v>91451.315967684059</v>
      </c>
      <c r="AA354" s="22">
        <f t="shared" si="76"/>
        <v>0</v>
      </c>
      <c r="AB354" s="424">
        <f t="shared" si="80"/>
        <v>0</v>
      </c>
      <c r="AC354" s="424">
        <f t="shared" si="81"/>
        <v>0</v>
      </c>
    </row>
    <row r="355" spans="1:29" s="269" customFormat="1" ht="14.25" customHeight="1" x14ac:dyDescent="0.25">
      <c r="A355" s="272"/>
      <c r="B355" s="276"/>
      <c r="C355" s="266"/>
      <c r="D355" s="478" t="s">
        <v>528</v>
      </c>
      <c r="E355" s="457"/>
      <c r="F355" s="268">
        <v>51.1</v>
      </c>
      <c r="G355" s="278"/>
      <c r="H355" s="151"/>
      <c r="I355" s="151"/>
      <c r="J355" s="151"/>
      <c r="N355" s="268"/>
      <c r="O355" s="268"/>
      <c r="P355" s="315"/>
      <c r="R355" s="274">
        <f t="shared" ref="R355:R357" si="97">$R$352/$F$352*F355</f>
        <v>88564.022797127487</v>
      </c>
      <c r="S355" s="274">
        <f t="shared" ref="S355:S357" si="98">170942.18/278.5*F355</f>
        <v>31364.974499102336</v>
      </c>
      <c r="T355" s="443">
        <f t="shared" ref="T355:T357" si="99">$T$352/$F$352*F355</f>
        <v>31253.981996409337</v>
      </c>
      <c r="U355" s="445"/>
      <c r="V355" s="443">
        <f t="shared" si="88"/>
        <v>57310.040800718154</v>
      </c>
      <c r="W355" s="295">
        <f t="shared" ref="W355:W357" si="100">SUM(R355-S355)</f>
        <v>57199.048298025155</v>
      </c>
      <c r="X355" s="231">
        <f t="shared" si="77"/>
        <v>31364.974499102336</v>
      </c>
      <c r="Y355" s="231">
        <f t="shared" si="78"/>
        <v>0</v>
      </c>
      <c r="Z355" s="232">
        <f t="shared" si="79"/>
        <v>57199.048298025155</v>
      </c>
      <c r="AA355" s="22">
        <f t="shared" si="76"/>
        <v>0</v>
      </c>
      <c r="AB355" s="424">
        <f t="shared" si="80"/>
        <v>0</v>
      </c>
      <c r="AC355" s="424">
        <f t="shared" si="81"/>
        <v>0</v>
      </c>
    </row>
    <row r="356" spans="1:29" s="269" customFormat="1" ht="14.25" customHeight="1" x14ac:dyDescent="0.25">
      <c r="A356" s="272"/>
      <c r="B356" s="276"/>
      <c r="C356" s="266"/>
      <c r="D356" s="478" t="s">
        <v>556</v>
      </c>
      <c r="E356" s="457"/>
      <c r="F356" s="268">
        <v>96.2</v>
      </c>
      <c r="G356" s="278"/>
      <c r="H356" s="151"/>
      <c r="I356" s="151"/>
      <c r="J356" s="151"/>
      <c r="N356" s="268"/>
      <c r="O356" s="268"/>
      <c r="P356" s="315"/>
      <c r="R356" s="274">
        <f t="shared" si="97"/>
        <v>166729.13880789949</v>
      </c>
      <c r="S356" s="274">
        <f t="shared" si="98"/>
        <v>59047.173127468588</v>
      </c>
      <c r="T356" s="443">
        <f t="shared" si="99"/>
        <v>58838.220509874329</v>
      </c>
      <c r="U356" s="445"/>
      <c r="V356" s="443">
        <f t="shared" si="88"/>
        <v>107890.91829802516</v>
      </c>
      <c r="W356" s="295">
        <f t="shared" si="100"/>
        <v>107681.96568043091</v>
      </c>
      <c r="X356" s="231">
        <f t="shared" si="77"/>
        <v>59047.173127468588</v>
      </c>
      <c r="Y356" s="231">
        <f t="shared" si="78"/>
        <v>0</v>
      </c>
      <c r="Z356" s="232">
        <f t="shared" si="79"/>
        <v>107681.96568043091</v>
      </c>
      <c r="AA356" s="22">
        <f t="shared" si="76"/>
        <v>0</v>
      </c>
      <c r="AB356" s="424">
        <f t="shared" si="80"/>
        <v>0</v>
      </c>
      <c r="AC356" s="424">
        <f t="shared" si="81"/>
        <v>0</v>
      </c>
    </row>
    <row r="357" spans="1:29" s="269" customFormat="1" ht="14.25" customHeight="1" x14ac:dyDescent="0.25">
      <c r="A357" s="272"/>
      <c r="B357" s="276"/>
      <c r="C357" s="266"/>
      <c r="D357" s="478" t="s">
        <v>557</v>
      </c>
      <c r="E357" s="457"/>
      <c r="F357" s="268">
        <v>49.5</v>
      </c>
      <c r="G357" s="278"/>
      <c r="H357" s="151"/>
      <c r="I357" s="151"/>
      <c r="J357" s="151"/>
      <c r="N357" s="268"/>
      <c r="O357" s="268"/>
      <c r="P357" s="315"/>
      <c r="R357" s="274">
        <f t="shared" si="97"/>
        <v>85790.980987432689</v>
      </c>
      <c r="S357" s="274">
        <f t="shared" si="98"/>
        <v>30382.900933572713</v>
      </c>
      <c r="T357" s="443">
        <f t="shared" si="99"/>
        <v>30275.383734290845</v>
      </c>
      <c r="U357" s="445"/>
      <c r="V357" s="443">
        <f t="shared" si="88"/>
        <v>55515.597253141845</v>
      </c>
      <c r="W357" s="295">
        <f t="shared" si="100"/>
        <v>55408.080053859972</v>
      </c>
      <c r="X357" s="231">
        <f t="shared" si="77"/>
        <v>30382.900933572713</v>
      </c>
      <c r="Y357" s="231">
        <f t="shared" si="78"/>
        <v>0</v>
      </c>
      <c r="Z357" s="232">
        <f t="shared" si="79"/>
        <v>55408.080053859972</v>
      </c>
      <c r="AA357" s="22">
        <f t="shared" si="76"/>
        <v>0</v>
      </c>
      <c r="AB357" s="424">
        <f t="shared" si="80"/>
        <v>0</v>
      </c>
      <c r="AC357" s="424">
        <f t="shared" si="81"/>
        <v>0</v>
      </c>
    </row>
    <row r="358" spans="1:29" s="149" customFormat="1" ht="14.25" customHeight="1" x14ac:dyDescent="0.25">
      <c r="A358" s="152"/>
      <c r="B358" s="143"/>
      <c r="C358" s="154"/>
      <c r="D358" s="162"/>
      <c r="E358" s="170"/>
      <c r="F358" s="158"/>
      <c r="G358" s="142"/>
      <c r="H358" s="157"/>
      <c r="I358" s="157"/>
      <c r="J358" s="157"/>
      <c r="K358" s="171"/>
      <c r="L358" s="171"/>
      <c r="M358" s="171"/>
      <c r="N358" s="158"/>
      <c r="O358" s="158"/>
      <c r="P358" s="159"/>
      <c r="Q358" s="171"/>
      <c r="R358" s="213"/>
      <c r="S358" s="213"/>
      <c r="T358" s="443"/>
      <c r="U358" s="445"/>
      <c r="V358" s="443"/>
      <c r="W358" s="214"/>
      <c r="X358" s="231">
        <f t="shared" si="77"/>
        <v>0</v>
      </c>
      <c r="Y358" s="231">
        <f t="shared" si="78"/>
        <v>0</v>
      </c>
      <c r="Z358" s="232">
        <f t="shared" si="79"/>
        <v>0</v>
      </c>
      <c r="AA358" s="22">
        <f t="shared" si="76"/>
        <v>0</v>
      </c>
      <c r="AB358" s="424">
        <f t="shared" si="80"/>
        <v>0</v>
      </c>
      <c r="AC358" s="424">
        <f t="shared" si="81"/>
        <v>0</v>
      </c>
    </row>
    <row r="359" spans="1:29" s="287" customFormat="1" ht="14.25" customHeight="1" x14ac:dyDescent="0.25">
      <c r="A359" s="313">
        <f>A352+1</f>
        <v>91</v>
      </c>
      <c r="B359" s="307" t="s">
        <v>170</v>
      </c>
      <c r="C359" s="348">
        <v>359</v>
      </c>
      <c r="D359" s="307" t="s">
        <v>171</v>
      </c>
      <c r="E359" s="469">
        <v>34</v>
      </c>
      <c r="F359" s="308">
        <f>F361+F362</f>
        <v>60.5</v>
      </c>
      <c r="G359" s="339">
        <v>1969</v>
      </c>
      <c r="H359" s="310">
        <f>SUM(Лист1!G103)</f>
        <v>38725.15</v>
      </c>
      <c r="I359" s="310">
        <f>SUM(Лист1!H103)</f>
        <v>10984.68</v>
      </c>
      <c r="J359" s="310">
        <f>SUM(Лист1!I103)</f>
        <v>22.13</v>
      </c>
      <c r="K359" s="311"/>
      <c r="L359" s="311"/>
      <c r="M359" s="311"/>
      <c r="N359" s="319">
        <v>440.58</v>
      </c>
      <c r="O359" s="319">
        <v>321.14</v>
      </c>
      <c r="P359" s="319">
        <v>0.63</v>
      </c>
      <c r="Q359" s="311"/>
      <c r="R359" s="231">
        <f t="shared" ref="R359" si="101">SUM(H359+N359)</f>
        <v>39165.730000000003</v>
      </c>
      <c r="S359" s="231">
        <f>SUM(I359+O359-J359)</f>
        <v>11283.69</v>
      </c>
      <c r="T359" s="443">
        <f>S359-3*U359</f>
        <v>11215.41</v>
      </c>
      <c r="U359" s="445">
        <f t="shared" si="87"/>
        <v>22.759999999999998</v>
      </c>
      <c r="V359" s="443">
        <f t="shared" si="88"/>
        <v>27950.320000000003</v>
      </c>
      <c r="W359" s="312">
        <f t="shared" si="64"/>
        <v>27882.04</v>
      </c>
      <c r="X359" s="231">
        <f t="shared" si="77"/>
        <v>11260.93</v>
      </c>
      <c r="Y359" s="231">
        <f t="shared" si="78"/>
        <v>22.759999999999998</v>
      </c>
      <c r="Z359" s="232">
        <f t="shared" si="79"/>
        <v>27904.799999999999</v>
      </c>
      <c r="AA359" s="22">
        <f t="shared" si="76"/>
        <v>0</v>
      </c>
      <c r="AB359" s="424">
        <f t="shared" si="80"/>
        <v>2.2026824808563106E-13</v>
      </c>
      <c r="AC359" s="424">
        <f t="shared" si="81"/>
        <v>3.637978807091713E-12</v>
      </c>
    </row>
    <row r="360" spans="1:29" s="269" customFormat="1" ht="14.25" customHeight="1" x14ac:dyDescent="0.25">
      <c r="A360" s="272"/>
      <c r="B360" s="276"/>
      <c r="C360" s="266"/>
      <c r="D360" s="296" t="s">
        <v>518</v>
      </c>
      <c r="E360" s="457"/>
      <c r="F360" s="268"/>
      <c r="G360" s="278"/>
      <c r="H360" s="151"/>
      <c r="I360" s="151"/>
      <c r="J360" s="151"/>
      <c r="N360" s="315"/>
      <c r="O360" s="315"/>
      <c r="P360" s="315"/>
      <c r="R360" s="274"/>
      <c r="S360" s="274"/>
      <c r="T360" s="443"/>
      <c r="U360" s="445"/>
      <c r="V360" s="443"/>
      <c r="W360" s="295"/>
      <c r="X360" s="231">
        <f t="shared" si="77"/>
        <v>0</v>
      </c>
      <c r="Y360" s="231">
        <f t="shared" si="78"/>
        <v>0</v>
      </c>
      <c r="Z360" s="232">
        <f t="shared" si="79"/>
        <v>0</v>
      </c>
      <c r="AA360" s="22">
        <f t="shared" si="76"/>
        <v>0</v>
      </c>
      <c r="AB360" s="424">
        <f t="shared" si="80"/>
        <v>0</v>
      </c>
      <c r="AC360" s="424">
        <f t="shared" si="81"/>
        <v>0</v>
      </c>
    </row>
    <row r="361" spans="1:29" s="269" customFormat="1" ht="14.25" customHeight="1" x14ac:dyDescent="0.25">
      <c r="A361" s="272"/>
      <c r="B361" s="276"/>
      <c r="C361" s="266"/>
      <c r="D361" s="478" t="s">
        <v>516</v>
      </c>
      <c r="E361" s="457"/>
      <c r="F361" s="268">
        <v>29.8</v>
      </c>
      <c r="G361" s="278"/>
      <c r="H361" s="151"/>
      <c r="I361" s="151"/>
      <c r="J361" s="151"/>
      <c r="N361" s="315"/>
      <c r="O361" s="315"/>
      <c r="P361" s="315"/>
      <c r="R361" s="274">
        <f>$R$359/$F$359*F361</f>
        <v>19291.549652892561</v>
      </c>
      <c r="S361" s="274">
        <f>S359/F359*F361</f>
        <v>5557.9167272727282</v>
      </c>
      <c r="T361" s="443">
        <f>$T$359/$F$359*F361</f>
        <v>5524.2845950413221</v>
      </c>
      <c r="U361" s="445"/>
      <c r="V361" s="443">
        <f t="shared" si="88"/>
        <v>13767.26505785124</v>
      </c>
      <c r="W361" s="295">
        <f>W359/F359*F361</f>
        <v>13733.632925619835</v>
      </c>
      <c r="X361" s="231">
        <f t="shared" si="77"/>
        <v>5557.9167272727282</v>
      </c>
      <c r="Y361" s="231">
        <f t="shared" si="78"/>
        <v>0</v>
      </c>
      <c r="Z361" s="232">
        <f t="shared" si="79"/>
        <v>13733.632925619835</v>
      </c>
      <c r="AA361" s="22">
        <f t="shared" si="76"/>
        <v>0</v>
      </c>
      <c r="AB361" s="424">
        <f t="shared" si="80"/>
        <v>0</v>
      </c>
      <c r="AC361" s="424">
        <f t="shared" si="81"/>
        <v>-1.8189894035458565E-12</v>
      </c>
    </row>
    <row r="362" spans="1:29" s="269" customFormat="1" ht="14.25" customHeight="1" x14ac:dyDescent="0.25">
      <c r="A362" s="272"/>
      <c r="B362" s="276"/>
      <c r="C362" s="266"/>
      <c r="D362" s="478" t="s">
        <v>545</v>
      </c>
      <c r="E362" s="457"/>
      <c r="F362" s="268">
        <v>30.7</v>
      </c>
      <c r="G362" s="278"/>
      <c r="H362" s="151"/>
      <c r="I362" s="151"/>
      <c r="J362" s="151"/>
      <c r="N362" s="315"/>
      <c r="O362" s="315"/>
      <c r="P362" s="315"/>
      <c r="R362" s="274">
        <f>$R$359/$F$359*F362</f>
        <v>19874.180347107438</v>
      </c>
      <c r="S362" s="274">
        <f>S359/F359*F362</f>
        <v>5725.7732727272733</v>
      </c>
      <c r="T362" s="443">
        <f>$T$359/$F$359*F362</f>
        <v>5691.1254049586778</v>
      </c>
      <c r="U362" s="445"/>
      <c r="V362" s="443">
        <f t="shared" si="88"/>
        <v>14183.054942148759</v>
      </c>
      <c r="W362" s="295">
        <f>W359/F359*F362</f>
        <v>14148.407074380166</v>
      </c>
      <c r="X362" s="231">
        <f t="shared" si="77"/>
        <v>5725.7732727272733</v>
      </c>
      <c r="Y362" s="231">
        <f t="shared" si="78"/>
        <v>0</v>
      </c>
      <c r="Z362" s="232">
        <f t="shared" si="79"/>
        <v>14148.407074380166</v>
      </c>
      <c r="AA362" s="22">
        <f t="shared" si="76"/>
        <v>0</v>
      </c>
      <c r="AB362" s="424">
        <f t="shared" si="80"/>
        <v>0</v>
      </c>
      <c r="AC362" s="424">
        <f t="shared" si="81"/>
        <v>-1.8189894035458565E-12</v>
      </c>
    </row>
    <row r="363" spans="1:29" s="269" customFormat="1" ht="14.25" customHeight="1" x14ac:dyDescent="0.25">
      <c r="A363" s="340"/>
      <c r="B363" s="293"/>
      <c r="C363" s="341"/>
      <c r="D363" s="484"/>
      <c r="E363" s="470"/>
      <c r="F363" s="342"/>
      <c r="G363" s="343"/>
      <c r="H363" s="344"/>
      <c r="I363" s="344"/>
      <c r="J363" s="344"/>
      <c r="K363" s="345"/>
      <c r="L363" s="345"/>
      <c r="M363" s="345"/>
      <c r="N363" s="350"/>
      <c r="O363" s="350"/>
      <c r="P363" s="350"/>
      <c r="Q363" s="345"/>
      <c r="R363" s="322"/>
      <c r="S363" s="322"/>
      <c r="T363" s="443"/>
      <c r="U363" s="445"/>
      <c r="V363" s="443"/>
      <c r="W363" s="347"/>
      <c r="X363" s="231">
        <f t="shared" si="77"/>
        <v>0</v>
      </c>
      <c r="Y363" s="231">
        <f t="shared" si="78"/>
        <v>0</v>
      </c>
      <c r="Z363" s="232">
        <f t="shared" si="79"/>
        <v>0</v>
      </c>
      <c r="AA363" s="22">
        <f t="shared" si="76"/>
        <v>0</v>
      </c>
      <c r="AB363" s="424">
        <f t="shared" si="80"/>
        <v>0</v>
      </c>
      <c r="AC363" s="424">
        <f t="shared" si="81"/>
        <v>0</v>
      </c>
    </row>
    <row r="364" spans="1:29" s="337" customFormat="1" ht="14.25" customHeight="1" x14ac:dyDescent="0.25">
      <c r="A364" s="330">
        <f>SUM(A359+1)</f>
        <v>92</v>
      </c>
      <c r="B364" s="323" t="s">
        <v>172</v>
      </c>
      <c r="C364" s="452">
        <v>360</v>
      </c>
      <c r="D364" s="323" t="s">
        <v>171</v>
      </c>
      <c r="E364" s="471">
        <v>27</v>
      </c>
      <c r="F364" s="351">
        <v>562.20000000000005</v>
      </c>
      <c r="G364" s="325">
        <v>1978</v>
      </c>
      <c r="H364" s="326">
        <f>SUM(Лист1!G104)</f>
        <v>350731.32</v>
      </c>
      <c r="I364" s="326">
        <f>SUM(Лист1!H104)</f>
        <v>137576.73000000001</v>
      </c>
      <c r="J364" s="326">
        <f>SUM(Лист1!I104)</f>
        <v>195.24</v>
      </c>
      <c r="K364" s="327"/>
      <c r="L364" s="327"/>
      <c r="M364" s="327"/>
      <c r="N364" s="324">
        <v>1688.01</v>
      </c>
      <c r="O364" s="324">
        <v>1561.21</v>
      </c>
      <c r="P364" s="338">
        <v>2.1</v>
      </c>
      <c r="Q364" s="327"/>
      <c r="R364" s="231">
        <f t="shared" ref="R364" si="102">SUM(H364+N364)</f>
        <v>352419.33</v>
      </c>
      <c r="S364" s="231">
        <f>SUM(I364+O364-J364)</f>
        <v>138942.70000000001</v>
      </c>
      <c r="T364" s="443">
        <f>S364-3*U364</f>
        <v>138350.68000000002</v>
      </c>
      <c r="U364" s="445">
        <f t="shared" si="87"/>
        <v>197.34</v>
      </c>
      <c r="V364" s="443">
        <f t="shared" si="88"/>
        <v>214068.65</v>
      </c>
      <c r="W364" s="328">
        <f t="shared" si="64"/>
        <v>213476.63</v>
      </c>
      <c r="X364" s="231">
        <f t="shared" si="77"/>
        <v>138745.36000000002</v>
      </c>
      <c r="Y364" s="231">
        <f t="shared" si="78"/>
        <v>197.34</v>
      </c>
      <c r="Z364" s="232">
        <f t="shared" si="79"/>
        <v>213673.97</v>
      </c>
      <c r="AA364" s="22">
        <f t="shared" si="76"/>
        <v>0</v>
      </c>
      <c r="AB364" s="424">
        <f t="shared" si="80"/>
        <v>-3.4958702599396929E-12</v>
      </c>
      <c r="AC364" s="424">
        <f t="shared" si="81"/>
        <v>0</v>
      </c>
    </row>
    <row r="365" spans="1:29" s="149" customFormat="1" ht="14.25" customHeight="1" x14ac:dyDescent="0.25">
      <c r="A365" s="163"/>
      <c r="B365" s="167"/>
      <c r="C365" s="146"/>
      <c r="D365" s="161" t="s">
        <v>470</v>
      </c>
      <c r="E365" s="147"/>
      <c r="F365" s="205">
        <v>562.20000000000005</v>
      </c>
      <c r="G365" s="144"/>
      <c r="H365" s="148"/>
      <c r="I365" s="148"/>
      <c r="J365" s="148"/>
      <c r="N365" s="139"/>
      <c r="O365" s="139"/>
      <c r="P365" s="140"/>
      <c r="R365" s="211"/>
      <c r="S365" s="211"/>
      <c r="T365" s="443"/>
      <c r="U365" s="445"/>
      <c r="V365" s="443"/>
      <c r="W365" s="212"/>
      <c r="X365" s="231">
        <f t="shared" si="77"/>
        <v>0</v>
      </c>
      <c r="Y365" s="231">
        <f t="shared" si="78"/>
        <v>0</v>
      </c>
      <c r="Z365" s="232">
        <f t="shared" si="79"/>
        <v>0</v>
      </c>
      <c r="AA365" s="22">
        <f t="shared" si="76"/>
        <v>0</v>
      </c>
      <c r="AB365" s="424">
        <f t="shared" si="80"/>
        <v>0</v>
      </c>
      <c r="AC365" s="424">
        <f t="shared" si="81"/>
        <v>0</v>
      </c>
    </row>
    <row r="366" spans="1:29" s="149" customFormat="1" ht="14.25" customHeight="1" x14ac:dyDescent="0.25">
      <c r="A366" s="152"/>
      <c r="B366" s="143"/>
      <c r="C366" s="154"/>
      <c r="D366" s="143"/>
      <c r="E366" s="155"/>
      <c r="F366" s="206"/>
      <c r="G366" s="156"/>
      <c r="H366" s="157"/>
      <c r="I366" s="157"/>
      <c r="J366" s="157"/>
      <c r="K366" s="171"/>
      <c r="L366" s="171"/>
      <c r="M366" s="171"/>
      <c r="N366" s="158"/>
      <c r="O366" s="158"/>
      <c r="P366" s="159"/>
      <c r="Q366" s="171"/>
      <c r="R366" s="213"/>
      <c r="S366" s="213"/>
      <c r="T366" s="443"/>
      <c r="U366" s="445"/>
      <c r="V366" s="443"/>
      <c r="W366" s="214"/>
      <c r="X366" s="231">
        <f t="shared" si="77"/>
        <v>0</v>
      </c>
      <c r="Y366" s="231">
        <f t="shared" si="78"/>
        <v>0</v>
      </c>
      <c r="Z366" s="232">
        <f t="shared" si="79"/>
        <v>0</v>
      </c>
      <c r="AA366" s="22">
        <f t="shared" si="76"/>
        <v>0</v>
      </c>
      <c r="AB366" s="424">
        <f t="shared" si="80"/>
        <v>0</v>
      </c>
      <c r="AC366" s="424">
        <f t="shared" si="81"/>
        <v>0</v>
      </c>
    </row>
    <row r="367" spans="1:29" s="257" customFormat="1" ht="14.25" customHeight="1" x14ac:dyDescent="0.25">
      <c r="A367" s="224">
        <f>SUM(A364+1)</f>
        <v>93</v>
      </c>
      <c r="B367" s="225" t="s">
        <v>173</v>
      </c>
      <c r="C367" s="226">
        <v>361</v>
      </c>
      <c r="D367" s="225" t="s">
        <v>171</v>
      </c>
      <c r="E367" s="454">
        <v>44</v>
      </c>
      <c r="F367" s="252">
        <v>652.1</v>
      </c>
      <c r="G367" s="248">
        <v>1966</v>
      </c>
      <c r="H367" s="237">
        <f>SUM(Лист1!G105)</f>
        <v>367301.61</v>
      </c>
      <c r="I367" s="237">
        <f>SUM(Лист1!H105)</f>
        <v>114882.36</v>
      </c>
      <c r="J367" s="237">
        <f>SUM(Лист1!I105)</f>
        <v>204.56</v>
      </c>
      <c r="K367" s="261"/>
      <c r="L367" s="261"/>
      <c r="M367" s="261"/>
      <c r="N367" s="252">
        <v>3134.26</v>
      </c>
      <c r="O367" s="252">
        <v>2793.15</v>
      </c>
      <c r="P367" s="259">
        <v>4.74</v>
      </c>
      <c r="Q367" s="261"/>
      <c r="R367" s="231">
        <f t="shared" ref="R367" si="103">SUM(H367+N367)</f>
        <v>370435.87</v>
      </c>
      <c r="S367" s="231">
        <f>SUM(I367+O367-J367)</f>
        <v>117470.95</v>
      </c>
      <c r="T367" s="443">
        <f>S367-3*U367</f>
        <v>116843.05</v>
      </c>
      <c r="U367" s="445">
        <f t="shared" si="87"/>
        <v>209.3</v>
      </c>
      <c r="V367" s="443">
        <f t="shared" si="88"/>
        <v>253592.82</v>
      </c>
      <c r="W367" s="238">
        <f t="shared" si="64"/>
        <v>252964.91999999998</v>
      </c>
      <c r="X367" s="231">
        <f t="shared" si="77"/>
        <v>117261.65</v>
      </c>
      <c r="Y367" s="231">
        <f t="shared" si="78"/>
        <v>209.3</v>
      </c>
      <c r="Z367" s="232">
        <f t="shared" si="79"/>
        <v>253174.21999999997</v>
      </c>
      <c r="AA367" s="22">
        <f t="shared" si="76"/>
        <v>0</v>
      </c>
      <c r="AB367" s="424">
        <f t="shared" si="80"/>
        <v>2.8990143619012088E-12</v>
      </c>
      <c r="AC367" s="424">
        <f t="shared" si="81"/>
        <v>2.9103830456733704E-11</v>
      </c>
    </row>
    <row r="368" spans="1:29" s="149" customFormat="1" ht="14.25" customHeight="1" x14ac:dyDescent="0.25">
      <c r="A368" s="163"/>
      <c r="B368" s="167"/>
      <c r="C368" s="146"/>
      <c r="D368" s="161" t="s">
        <v>470</v>
      </c>
      <c r="E368" s="169"/>
      <c r="F368" s="139">
        <v>652.1</v>
      </c>
      <c r="G368" s="249"/>
      <c r="H368" s="148"/>
      <c r="I368" s="148"/>
      <c r="J368" s="148"/>
      <c r="N368" s="139"/>
      <c r="O368" s="139"/>
      <c r="P368" s="140"/>
      <c r="R368" s="211"/>
      <c r="S368" s="211"/>
      <c r="T368" s="443"/>
      <c r="U368" s="445"/>
      <c r="V368" s="443"/>
      <c r="W368" s="212"/>
      <c r="X368" s="231">
        <f t="shared" si="77"/>
        <v>0</v>
      </c>
      <c r="Y368" s="231">
        <f t="shared" si="78"/>
        <v>0</v>
      </c>
      <c r="Z368" s="232">
        <f t="shared" si="79"/>
        <v>0</v>
      </c>
      <c r="AA368" s="22">
        <f t="shared" si="76"/>
        <v>0</v>
      </c>
      <c r="AB368" s="424">
        <f t="shared" si="80"/>
        <v>0</v>
      </c>
      <c r="AC368" s="424">
        <f t="shared" si="81"/>
        <v>0</v>
      </c>
    </row>
    <row r="369" spans="1:29" s="149" customFormat="1" ht="14.25" customHeight="1" x14ac:dyDescent="0.25">
      <c r="A369" s="152"/>
      <c r="B369" s="143"/>
      <c r="C369" s="154"/>
      <c r="D369" s="143"/>
      <c r="E369" s="170"/>
      <c r="F369" s="158"/>
      <c r="G369" s="142"/>
      <c r="H369" s="157"/>
      <c r="I369" s="157"/>
      <c r="J369" s="157"/>
      <c r="K369" s="171"/>
      <c r="L369" s="171"/>
      <c r="M369" s="171"/>
      <c r="N369" s="158"/>
      <c r="O369" s="158"/>
      <c r="P369" s="159"/>
      <c r="Q369" s="171"/>
      <c r="R369" s="213"/>
      <c r="S369" s="213"/>
      <c r="T369" s="443"/>
      <c r="U369" s="445"/>
      <c r="V369" s="443"/>
      <c r="W369" s="214"/>
      <c r="X369" s="231">
        <f t="shared" si="77"/>
        <v>0</v>
      </c>
      <c r="Y369" s="231">
        <f t="shared" si="78"/>
        <v>0</v>
      </c>
      <c r="Z369" s="232">
        <f t="shared" si="79"/>
        <v>0</v>
      </c>
      <c r="AA369" s="22">
        <f t="shared" si="76"/>
        <v>0</v>
      </c>
      <c r="AB369" s="424">
        <f t="shared" si="80"/>
        <v>0</v>
      </c>
      <c r="AC369" s="424">
        <f t="shared" si="81"/>
        <v>0</v>
      </c>
    </row>
    <row r="370" spans="1:29" s="287" customFormat="1" ht="14.25" customHeight="1" x14ac:dyDescent="0.25">
      <c r="A370" s="313">
        <f>SUM(A367+1)</f>
        <v>94</v>
      </c>
      <c r="B370" s="307" t="s">
        <v>174</v>
      </c>
      <c r="C370" s="348">
        <v>362</v>
      </c>
      <c r="D370" s="307" t="s">
        <v>171</v>
      </c>
      <c r="E370" s="469">
        <v>33</v>
      </c>
      <c r="F370" s="321">
        <f>F372+F373+F374+F375+F376</f>
        <v>235.89999999999998</v>
      </c>
      <c r="G370" s="309">
        <v>1972</v>
      </c>
      <c r="H370" s="310">
        <f>SUM(Лист1!G106)</f>
        <v>261588.21</v>
      </c>
      <c r="I370" s="310">
        <f>SUM(Лист1!H106)</f>
        <v>92188.35</v>
      </c>
      <c r="J370" s="310">
        <f>SUM(Лист1!I106)</f>
        <v>152.33000000000001</v>
      </c>
      <c r="K370" s="311"/>
      <c r="L370" s="311"/>
      <c r="M370" s="311"/>
      <c r="N370" s="308">
        <v>1085.8499999999999</v>
      </c>
      <c r="O370" s="319">
        <v>935.91</v>
      </c>
      <c r="P370" s="319">
        <v>1.48</v>
      </c>
      <c r="Q370" s="311"/>
      <c r="R370" s="231">
        <f t="shared" ref="R370" si="104">SUM(H370+N370)</f>
        <v>262674.06</v>
      </c>
      <c r="S370" s="231">
        <f>SUM(I370+O370-J370)</f>
        <v>92971.930000000008</v>
      </c>
      <c r="T370" s="443">
        <f>S370-3*U370</f>
        <v>92510.500000000015</v>
      </c>
      <c r="U370" s="445">
        <f t="shared" si="87"/>
        <v>153.81</v>
      </c>
      <c r="V370" s="443">
        <f t="shared" si="88"/>
        <v>170163.56</v>
      </c>
      <c r="W370" s="314">
        <f t="shared" si="64"/>
        <v>169702.13</v>
      </c>
      <c r="X370" s="231">
        <f t="shared" si="77"/>
        <v>92818.12000000001</v>
      </c>
      <c r="Y370" s="231">
        <f t="shared" si="78"/>
        <v>153.81</v>
      </c>
      <c r="Z370" s="232">
        <f t="shared" si="79"/>
        <v>169855.94</v>
      </c>
      <c r="AA370" s="22">
        <f t="shared" si="76"/>
        <v>0</v>
      </c>
      <c r="AB370" s="424">
        <f t="shared" si="80"/>
        <v>-2.3305801732931286E-12</v>
      </c>
      <c r="AC370" s="424">
        <f t="shared" si="81"/>
        <v>0</v>
      </c>
    </row>
    <row r="371" spans="1:29" s="269" customFormat="1" ht="14.25" customHeight="1" x14ac:dyDescent="0.25">
      <c r="A371" s="272"/>
      <c r="B371" s="276"/>
      <c r="C371" s="266"/>
      <c r="D371" s="353" t="s">
        <v>518</v>
      </c>
      <c r="E371" s="457"/>
      <c r="F371" s="277"/>
      <c r="G371" s="265"/>
      <c r="H371" s="151"/>
      <c r="I371" s="151"/>
      <c r="J371" s="151"/>
      <c r="N371" s="268"/>
      <c r="O371" s="315"/>
      <c r="P371" s="315"/>
      <c r="R371" s="274"/>
      <c r="S371" s="274"/>
      <c r="T371" s="443"/>
      <c r="U371" s="445"/>
      <c r="V371" s="443"/>
      <c r="W371" s="274"/>
      <c r="X371" s="231">
        <f t="shared" si="77"/>
        <v>0</v>
      </c>
      <c r="Y371" s="231">
        <f t="shared" si="78"/>
        <v>0</v>
      </c>
      <c r="Z371" s="232">
        <f t="shared" si="79"/>
        <v>0</v>
      </c>
      <c r="AA371" s="22">
        <f t="shared" si="76"/>
        <v>0</v>
      </c>
      <c r="AB371" s="424">
        <f t="shared" si="80"/>
        <v>0</v>
      </c>
      <c r="AC371" s="424">
        <f t="shared" si="81"/>
        <v>0</v>
      </c>
    </row>
    <row r="372" spans="1:29" s="269" customFormat="1" ht="14.25" customHeight="1" x14ac:dyDescent="0.25">
      <c r="A372" s="272"/>
      <c r="B372" s="276"/>
      <c r="C372" s="266"/>
      <c r="D372" s="354" t="s">
        <v>551</v>
      </c>
      <c r="E372" s="457"/>
      <c r="F372" s="277">
        <v>44.9</v>
      </c>
      <c r="G372" s="265"/>
      <c r="H372" s="151"/>
      <c r="I372" s="151"/>
      <c r="J372" s="151"/>
      <c r="N372" s="268"/>
      <c r="O372" s="315"/>
      <c r="P372" s="315"/>
      <c r="R372" s="274">
        <f>$R$370/$F$370*F372</f>
        <v>49996.037702416281</v>
      </c>
      <c r="S372" s="274">
        <f>92971.93/235.9*F372</f>
        <v>17695.801852479861</v>
      </c>
      <c r="T372" s="443">
        <f>$T$370/$F$370*F372</f>
        <v>17607.975625264946</v>
      </c>
      <c r="U372" s="445"/>
      <c r="V372" s="443">
        <f t="shared" si="88"/>
        <v>32388.062077151335</v>
      </c>
      <c r="W372" s="274">
        <f>SUM(R372-S372)</f>
        <v>32300.23584993642</v>
      </c>
      <c r="X372" s="231">
        <f t="shared" si="77"/>
        <v>17695.801852479861</v>
      </c>
      <c r="Y372" s="231">
        <f t="shared" si="78"/>
        <v>0</v>
      </c>
      <c r="Z372" s="232">
        <f t="shared" si="79"/>
        <v>32300.23584993642</v>
      </c>
      <c r="AA372" s="22">
        <f t="shared" si="76"/>
        <v>0</v>
      </c>
      <c r="AB372" s="424">
        <f t="shared" si="80"/>
        <v>0</v>
      </c>
      <c r="AC372" s="424">
        <f t="shared" si="81"/>
        <v>0</v>
      </c>
    </row>
    <row r="373" spans="1:29" s="269" customFormat="1" ht="14.25" customHeight="1" x14ac:dyDescent="0.25">
      <c r="A373" s="272"/>
      <c r="B373" s="276"/>
      <c r="C373" s="266"/>
      <c r="D373" s="354" t="s">
        <v>558</v>
      </c>
      <c r="E373" s="457"/>
      <c r="F373" s="277">
        <v>45.3</v>
      </c>
      <c r="G373" s="265"/>
      <c r="H373" s="151"/>
      <c r="I373" s="151"/>
      <c r="J373" s="151"/>
      <c r="N373" s="268"/>
      <c r="O373" s="315"/>
      <c r="P373" s="315"/>
      <c r="R373" s="274">
        <f t="shared" ref="R373:R376" si="105">$R$370/$F$370*F373</f>
        <v>50441.436701992367</v>
      </c>
      <c r="S373" s="274">
        <f t="shared" ref="S373:S376" si="106">92971.93/235.9*F373</f>
        <v>17853.44819415006</v>
      </c>
      <c r="T373" s="443">
        <f t="shared" ref="T373:T376" si="107">$T$370/$F$370*F373</f>
        <v>17764.83955065706</v>
      </c>
      <c r="U373" s="445"/>
      <c r="V373" s="443">
        <f t="shared" si="88"/>
        <v>32676.597151335307</v>
      </c>
      <c r="W373" s="274">
        <f t="shared" ref="W373:W376" si="108">SUM(R373-S373)</f>
        <v>32587.988507842307</v>
      </c>
      <c r="X373" s="231">
        <f t="shared" si="77"/>
        <v>17853.44819415006</v>
      </c>
      <c r="Y373" s="231">
        <f t="shared" si="78"/>
        <v>0</v>
      </c>
      <c r="Z373" s="232">
        <f t="shared" si="79"/>
        <v>32587.988507842307</v>
      </c>
      <c r="AA373" s="22">
        <f t="shared" si="76"/>
        <v>0</v>
      </c>
      <c r="AB373" s="424">
        <f t="shared" si="80"/>
        <v>0</v>
      </c>
      <c r="AC373" s="424">
        <f t="shared" si="81"/>
        <v>0</v>
      </c>
    </row>
    <row r="374" spans="1:29" s="269" customFormat="1" ht="14.25" customHeight="1" x14ac:dyDescent="0.25">
      <c r="A374" s="272"/>
      <c r="B374" s="276"/>
      <c r="C374" s="266"/>
      <c r="D374" s="354" t="s">
        <v>559</v>
      </c>
      <c r="E374" s="457"/>
      <c r="F374" s="277">
        <v>30.5</v>
      </c>
      <c r="G374" s="265"/>
      <c r="H374" s="151"/>
      <c r="I374" s="151"/>
      <c r="J374" s="151"/>
      <c r="N374" s="268"/>
      <c r="O374" s="315"/>
      <c r="P374" s="315"/>
      <c r="R374" s="274">
        <f t="shared" si="105"/>
        <v>33961.673717676982</v>
      </c>
      <c r="S374" s="274">
        <f t="shared" si="106"/>
        <v>12020.53355235269</v>
      </c>
      <c r="T374" s="443">
        <f t="shared" si="107"/>
        <v>11960.874311148795</v>
      </c>
      <c r="U374" s="445"/>
      <c r="V374" s="443">
        <f t="shared" si="88"/>
        <v>22000.799406528189</v>
      </c>
      <c r="W374" s="274">
        <f t="shared" si="108"/>
        <v>21941.140165324294</v>
      </c>
      <c r="X374" s="231">
        <f t="shared" si="77"/>
        <v>12020.53355235269</v>
      </c>
      <c r="Y374" s="231">
        <f t="shared" si="78"/>
        <v>0</v>
      </c>
      <c r="Z374" s="232">
        <f t="shared" si="79"/>
        <v>21941.140165324294</v>
      </c>
      <c r="AA374" s="22">
        <f t="shared" si="76"/>
        <v>0</v>
      </c>
      <c r="AB374" s="424">
        <f t="shared" si="80"/>
        <v>0</v>
      </c>
      <c r="AC374" s="424">
        <f t="shared" si="81"/>
        <v>0</v>
      </c>
    </row>
    <row r="375" spans="1:29" s="269" customFormat="1" ht="14.25" customHeight="1" x14ac:dyDescent="0.25">
      <c r="A375" s="272"/>
      <c r="B375" s="276"/>
      <c r="C375" s="266"/>
      <c r="D375" s="354" t="s">
        <v>560</v>
      </c>
      <c r="E375" s="457"/>
      <c r="F375" s="277">
        <v>62.9</v>
      </c>
      <c r="G375" s="265"/>
      <c r="H375" s="151"/>
      <c r="I375" s="151"/>
      <c r="J375" s="151"/>
      <c r="N375" s="268"/>
      <c r="O375" s="315"/>
      <c r="P375" s="315"/>
      <c r="R375" s="274">
        <f t="shared" si="105"/>
        <v>70038.992683340402</v>
      </c>
      <c r="S375" s="274">
        <f t="shared" si="106"/>
        <v>24789.887227638825</v>
      </c>
      <c r="T375" s="443">
        <f t="shared" si="107"/>
        <v>24666.852267910137</v>
      </c>
      <c r="U375" s="445"/>
      <c r="V375" s="443">
        <f t="shared" si="88"/>
        <v>45372.140415430265</v>
      </c>
      <c r="W375" s="274">
        <f t="shared" si="108"/>
        <v>45249.105455701574</v>
      </c>
      <c r="X375" s="231">
        <f t="shared" si="77"/>
        <v>24789.887227638825</v>
      </c>
      <c r="Y375" s="231">
        <f t="shared" si="78"/>
        <v>0</v>
      </c>
      <c r="Z375" s="232">
        <f t="shared" si="79"/>
        <v>45249.105455701574</v>
      </c>
      <c r="AA375" s="22">
        <f t="shared" si="76"/>
        <v>0</v>
      </c>
      <c r="AB375" s="424">
        <f t="shared" si="80"/>
        <v>0</v>
      </c>
      <c r="AC375" s="424">
        <f t="shared" si="81"/>
        <v>0</v>
      </c>
    </row>
    <row r="376" spans="1:29" s="269" customFormat="1" ht="14.25" customHeight="1" x14ac:dyDescent="0.25">
      <c r="A376" s="272"/>
      <c r="B376" s="276"/>
      <c r="C376" s="266"/>
      <c r="D376" s="354" t="s">
        <v>561</v>
      </c>
      <c r="E376" s="457"/>
      <c r="F376" s="277">
        <v>52.3</v>
      </c>
      <c r="G376" s="265"/>
      <c r="H376" s="151"/>
      <c r="I376" s="151"/>
      <c r="J376" s="151"/>
      <c r="N376" s="268"/>
      <c r="O376" s="315"/>
      <c r="P376" s="315"/>
      <c r="R376" s="274">
        <f t="shared" si="105"/>
        <v>58235.919194573973</v>
      </c>
      <c r="S376" s="274">
        <f t="shared" si="106"/>
        <v>20612.259173378545</v>
      </c>
      <c r="T376" s="443">
        <f t="shared" si="107"/>
        <v>20509.958245019079</v>
      </c>
      <c r="U376" s="445"/>
      <c r="V376" s="443">
        <f t="shared" si="88"/>
        <v>37725.960949554894</v>
      </c>
      <c r="W376" s="274">
        <f t="shared" si="108"/>
        <v>37623.660021195428</v>
      </c>
      <c r="X376" s="231">
        <f t="shared" si="77"/>
        <v>20612.259173378545</v>
      </c>
      <c r="Y376" s="231">
        <f t="shared" si="78"/>
        <v>0</v>
      </c>
      <c r="Z376" s="232">
        <f t="shared" si="79"/>
        <v>37623.660021195428</v>
      </c>
      <c r="AA376" s="22">
        <f t="shared" si="76"/>
        <v>0</v>
      </c>
      <c r="AB376" s="424">
        <f t="shared" si="80"/>
        <v>0</v>
      </c>
      <c r="AC376" s="424">
        <f t="shared" si="81"/>
        <v>0</v>
      </c>
    </row>
    <row r="377" spans="1:29" s="149" customFormat="1" ht="14.25" customHeight="1" x14ac:dyDescent="0.25">
      <c r="A377" s="152"/>
      <c r="B377" s="143"/>
      <c r="C377" s="154"/>
      <c r="D377" s="143"/>
      <c r="E377" s="170"/>
      <c r="F377" s="206"/>
      <c r="G377" s="156"/>
      <c r="H377" s="157"/>
      <c r="I377" s="157"/>
      <c r="J377" s="157"/>
      <c r="K377" s="171"/>
      <c r="L377" s="171"/>
      <c r="M377" s="171"/>
      <c r="N377" s="158"/>
      <c r="O377" s="159"/>
      <c r="P377" s="159"/>
      <c r="Q377" s="171"/>
      <c r="R377" s="213"/>
      <c r="S377" s="213"/>
      <c r="T377" s="443"/>
      <c r="U377" s="445"/>
      <c r="V377" s="443"/>
      <c r="W377" s="213"/>
      <c r="X377" s="231">
        <f t="shared" si="77"/>
        <v>0</v>
      </c>
      <c r="Y377" s="231">
        <f t="shared" si="78"/>
        <v>0</v>
      </c>
      <c r="Z377" s="232">
        <f t="shared" si="79"/>
        <v>0</v>
      </c>
      <c r="AA377" s="22">
        <f t="shared" si="76"/>
        <v>0</v>
      </c>
      <c r="AB377" s="424">
        <f t="shared" si="80"/>
        <v>0</v>
      </c>
      <c r="AC377" s="424">
        <f t="shared" si="81"/>
        <v>0</v>
      </c>
    </row>
    <row r="378" spans="1:29" s="257" customFormat="1" ht="14.25" customHeight="1" x14ac:dyDescent="0.25">
      <c r="A378" s="224">
        <f>SUM(A370+1)</f>
        <v>95</v>
      </c>
      <c r="B378" s="225" t="s">
        <v>175</v>
      </c>
      <c r="C378" s="226">
        <v>367</v>
      </c>
      <c r="D378" s="225" t="s">
        <v>176</v>
      </c>
      <c r="E378" s="251">
        <v>2</v>
      </c>
      <c r="F378" s="245">
        <v>887.4</v>
      </c>
      <c r="G378" s="258">
        <v>1979</v>
      </c>
      <c r="H378" s="237">
        <f>SUM(Лист1!G107)</f>
        <v>1244471.74</v>
      </c>
      <c r="I378" s="237">
        <f>SUM(Лист1!H107)</f>
        <v>507655.51</v>
      </c>
      <c r="J378" s="237">
        <f>SUM(Лист1!I107)</f>
        <v>698.59</v>
      </c>
      <c r="K378" s="261"/>
      <c r="L378" s="261"/>
      <c r="M378" s="261"/>
      <c r="N378" s="259">
        <v>579.69000000000005</v>
      </c>
      <c r="O378" s="259">
        <v>526.69000000000005</v>
      </c>
      <c r="P378" s="259">
        <v>0.71</v>
      </c>
      <c r="Q378" s="261"/>
      <c r="R378" s="231">
        <f t="shared" ref="R378" si="109">SUM(H378+N378)</f>
        <v>1245051.43</v>
      </c>
      <c r="S378" s="231">
        <f>SUM(I378+O378-J378)</f>
        <v>507483.61</v>
      </c>
      <c r="T378" s="443">
        <f>S378-3*U378</f>
        <v>505385.70999999996</v>
      </c>
      <c r="U378" s="445">
        <f t="shared" si="87"/>
        <v>699.30000000000007</v>
      </c>
      <c r="V378" s="443">
        <f t="shared" si="88"/>
        <v>739665.72</v>
      </c>
      <c r="W378" s="231">
        <f t="shared" si="64"/>
        <v>737567.82</v>
      </c>
      <c r="X378" s="231">
        <f t="shared" si="77"/>
        <v>506784.31</v>
      </c>
      <c r="Y378" s="231">
        <f t="shared" si="78"/>
        <v>699.30000000000007</v>
      </c>
      <c r="Z378" s="232">
        <f t="shared" si="79"/>
        <v>738267.12</v>
      </c>
      <c r="AA378" s="22">
        <f t="shared" si="76"/>
        <v>0</v>
      </c>
      <c r="AB378" s="424">
        <f t="shared" si="80"/>
        <v>-1.1709744285326451E-11</v>
      </c>
      <c r="AC378" s="424">
        <f t="shared" si="81"/>
        <v>-1.1641532182693481E-10</v>
      </c>
    </row>
    <row r="379" spans="1:29" s="149" customFormat="1" ht="14.25" customHeight="1" x14ac:dyDescent="0.25">
      <c r="A379" s="163"/>
      <c r="B379" s="167"/>
      <c r="C379" s="146"/>
      <c r="D379" s="161" t="s">
        <v>470</v>
      </c>
      <c r="E379" s="147"/>
      <c r="F379" s="205">
        <v>887.4</v>
      </c>
      <c r="G379" s="144"/>
      <c r="H379" s="148"/>
      <c r="I379" s="148"/>
      <c r="J379" s="148"/>
      <c r="N379" s="140"/>
      <c r="O379" s="140"/>
      <c r="P379" s="140"/>
      <c r="R379" s="211"/>
      <c r="S379" s="211"/>
      <c r="T379" s="443"/>
      <c r="U379" s="445"/>
      <c r="V379" s="443"/>
      <c r="W379" s="211"/>
      <c r="X379" s="231">
        <f t="shared" si="77"/>
        <v>0</v>
      </c>
      <c r="Y379" s="231">
        <f t="shared" si="78"/>
        <v>0</v>
      </c>
      <c r="Z379" s="232">
        <f t="shared" si="79"/>
        <v>0</v>
      </c>
      <c r="AA379" s="22">
        <f t="shared" si="76"/>
        <v>0</v>
      </c>
      <c r="AB379" s="424">
        <f t="shared" si="80"/>
        <v>0</v>
      </c>
      <c r="AC379" s="424">
        <f t="shared" si="81"/>
        <v>0</v>
      </c>
    </row>
    <row r="380" spans="1:29" s="149" customFormat="1" ht="14.25" customHeight="1" x14ac:dyDescent="0.25">
      <c r="A380" s="152"/>
      <c r="B380" s="143"/>
      <c r="C380" s="154"/>
      <c r="D380" s="143"/>
      <c r="E380" s="155"/>
      <c r="F380" s="206"/>
      <c r="G380" s="156"/>
      <c r="H380" s="157"/>
      <c r="I380" s="157"/>
      <c r="J380" s="157"/>
      <c r="K380" s="171"/>
      <c r="L380" s="171"/>
      <c r="M380" s="171"/>
      <c r="N380" s="159"/>
      <c r="O380" s="159"/>
      <c r="P380" s="159"/>
      <c r="Q380" s="171"/>
      <c r="R380" s="213"/>
      <c r="S380" s="213"/>
      <c r="T380" s="443"/>
      <c r="U380" s="445"/>
      <c r="V380" s="443"/>
      <c r="W380" s="213"/>
      <c r="X380" s="231">
        <f t="shared" si="77"/>
        <v>0</v>
      </c>
      <c r="Y380" s="231">
        <f t="shared" si="78"/>
        <v>0</v>
      </c>
      <c r="Z380" s="232">
        <f t="shared" si="79"/>
        <v>0</v>
      </c>
      <c r="AA380" s="22">
        <f t="shared" si="76"/>
        <v>0</v>
      </c>
      <c r="AB380" s="424">
        <f t="shared" si="80"/>
        <v>0</v>
      </c>
      <c r="AC380" s="424">
        <f t="shared" si="81"/>
        <v>0</v>
      </c>
    </row>
    <row r="381" spans="1:29" s="257" customFormat="1" ht="14.25" customHeight="1" x14ac:dyDescent="0.25">
      <c r="A381" s="224">
        <f>A378+1</f>
        <v>96</v>
      </c>
      <c r="B381" s="225" t="s">
        <v>180</v>
      </c>
      <c r="C381" s="226">
        <v>372</v>
      </c>
      <c r="D381" s="225" t="s">
        <v>176</v>
      </c>
      <c r="E381" s="454">
        <v>30</v>
      </c>
      <c r="F381" s="252">
        <f>F382</f>
        <v>38.700000000000003</v>
      </c>
      <c r="G381" s="248">
        <v>1967</v>
      </c>
      <c r="H381" s="237">
        <f>SUM(Лист1!G111)</f>
        <v>62517.59</v>
      </c>
      <c r="I381" s="237">
        <f>SUM(Лист1!H111)</f>
        <v>17790.8</v>
      </c>
      <c r="J381" s="237">
        <f>SUM(Лист1!I111)</f>
        <v>35.6</v>
      </c>
      <c r="K381" s="261"/>
      <c r="L381" s="261"/>
      <c r="M381" s="261"/>
      <c r="N381" s="259">
        <v>252.2</v>
      </c>
      <c r="O381" s="259">
        <v>199.87</v>
      </c>
      <c r="P381" s="259">
        <v>0.32</v>
      </c>
      <c r="Q381" s="261"/>
      <c r="R381" s="231">
        <f t="shared" si="73"/>
        <v>62769.789999999994</v>
      </c>
      <c r="S381" s="231">
        <f>SUM(I381+O381-J381)</f>
        <v>17955.07</v>
      </c>
      <c r="T381" s="443">
        <f>S381-3*U381</f>
        <v>17847.310000000001</v>
      </c>
      <c r="U381" s="445">
        <f t="shared" si="87"/>
        <v>35.92</v>
      </c>
      <c r="V381" s="443">
        <f t="shared" si="88"/>
        <v>44922.479999999996</v>
      </c>
      <c r="W381" s="238">
        <f t="shared" si="64"/>
        <v>44814.719999999994</v>
      </c>
      <c r="X381" s="231">
        <f t="shared" ref="X381:X433" si="110">SUM(S381-U381)</f>
        <v>17919.150000000001</v>
      </c>
      <c r="Y381" s="231">
        <f t="shared" ref="Y381:Y433" si="111">SUM(U381)</f>
        <v>35.92</v>
      </c>
      <c r="Z381" s="232">
        <f t="shared" ref="Z381:Z433" si="112">SUM(U381+W381)</f>
        <v>44850.639999999992</v>
      </c>
      <c r="AA381" s="22">
        <f t="shared" ref="AA381:AA432" si="113">SUM(U381-Y381)</f>
        <v>0</v>
      </c>
      <c r="AB381" s="424">
        <f t="shared" ref="AB381:AB433" si="114">SUM(S381-X381-U381)</f>
        <v>-1.7479351299698465E-12</v>
      </c>
      <c r="AC381" s="424">
        <f t="shared" ref="AC381:AC433" si="115">SUM(R381-X381-Z381)</f>
        <v>0</v>
      </c>
    </row>
    <row r="382" spans="1:29" s="269" customFormat="1" ht="14.25" customHeight="1" x14ac:dyDescent="0.25">
      <c r="A382" s="272"/>
      <c r="B382" s="276"/>
      <c r="C382" s="266"/>
      <c r="D382" s="353" t="s">
        <v>494</v>
      </c>
      <c r="E382" s="457"/>
      <c r="F382" s="268">
        <v>38.700000000000003</v>
      </c>
      <c r="G382" s="278"/>
      <c r="H382" s="151"/>
      <c r="I382" s="151"/>
      <c r="J382" s="151"/>
      <c r="N382" s="315"/>
      <c r="O382" s="315"/>
      <c r="P382" s="315"/>
      <c r="R382" s="274"/>
      <c r="S382" s="274"/>
      <c r="T382" s="443"/>
      <c r="U382" s="445"/>
      <c r="V382" s="443"/>
      <c r="W382" s="295"/>
      <c r="X382" s="231">
        <f t="shared" si="110"/>
        <v>0</v>
      </c>
      <c r="Y382" s="231">
        <f t="shared" si="111"/>
        <v>0</v>
      </c>
      <c r="Z382" s="232">
        <f t="shared" si="112"/>
        <v>0</v>
      </c>
      <c r="AA382" s="22">
        <f t="shared" si="113"/>
        <v>0</v>
      </c>
      <c r="AB382" s="424">
        <f t="shared" si="114"/>
        <v>0</v>
      </c>
      <c r="AC382" s="424">
        <f t="shared" si="115"/>
        <v>0</v>
      </c>
    </row>
    <row r="383" spans="1:29" s="185" customFormat="1" ht="14.25" customHeight="1" x14ac:dyDescent="0.25">
      <c r="A383" s="190"/>
      <c r="B383" s="191"/>
      <c r="C383" s="192"/>
      <c r="D383" s="373"/>
      <c r="E383" s="464"/>
      <c r="F383" s="196"/>
      <c r="G383" s="352"/>
      <c r="H383" s="194"/>
      <c r="I383" s="194"/>
      <c r="J383" s="194"/>
      <c r="K383" s="195"/>
      <c r="L383" s="195"/>
      <c r="M383" s="195"/>
      <c r="N383" s="197"/>
      <c r="O383" s="197"/>
      <c r="P383" s="197"/>
      <c r="Q383" s="195"/>
      <c r="R383" s="221"/>
      <c r="S383" s="221"/>
      <c r="T383" s="443"/>
      <c r="U383" s="445"/>
      <c r="V383" s="443"/>
      <c r="W383" s="222"/>
      <c r="X383" s="231">
        <f t="shared" si="110"/>
        <v>0</v>
      </c>
      <c r="Y383" s="231">
        <f t="shared" si="111"/>
        <v>0</v>
      </c>
      <c r="Z383" s="232">
        <f t="shared" si="112"/>
        <v>0</v>
      </c>
      <c r="AA383" s="22">
        <f t="shared" si="113"/>
        <v>0</v>
      </c>
      <c r="AB383" s="424">
        <f t="shared" si="114"/>
        <v>0</v>
      </c>
      <c r="AC383" s="424">
        <f t="shared" si="115"/>
        <v>0</v>
      </c>
    </row>
    <row r="384" spans="1:29" s="257" customFormat="1" ht="14.25" customHeight="1" x14ac:dyDescent="0.25">
      <c r="A384" s="224">
        <f>SUM(A381+1)</f>
        <v>97</v>
      </c>
      <c r="B384" s="225" t="s">
        <v>181</v>
      </c>
      <c r="C384" s="226">
        <v>373</v>
      </c>
      <c r="D384" s="225" t="s">
        <v>176</v>
      </c>
      <c r="E384" s="251">
        <v>32</v>
      </c>
      <c r="F384" s="245">
        <f>F386+F387</f>
        <v>107.30000000000001</v>
      </c>
      <c r="G384" s="258">
        <v>1967</v>
      </c>
      <c r="H384" s="237">
        <f>SUM(Лист1!G112)</f>
        <v>118181.84</v>
      </c>
      <c r="I384" s="237">
        <f>SUM(Лист1!H112)</f>
        <v>35728.61</v>
      </c>
      <c r="J384" s="237">
        <f>SUM(Лист1!I112)</f>
        <v>67.22</v>
      </c>
      <c r="K384" s="261"/>
      <c r="L384" s="261"/>
      <c r="M384" s="261"/>
      <c r="N384" s="259">
        <v>254.71</v>
      </c>
      <c r="O384" s="259">
        <v>218.06</v>
      </c>
      <c r="P384" s="259">
        <v>0.3</v>
      </c>
      <c r="Q384" s="261"/>
      <c r="R384" s="231">
        <f t="shared" ref="R384" si="116">SUM(H384+N384)</f>
        <v>118436.55</v>
      </c>
      <c r="S384" s="231">
        <f>SUM(I384+O384-J384)</f>
        <v>35879.449999999997</v>
      </c>
      <c r="T384" s="443">
        <f>S384-3*U384</f>
        <v>35676.89</v>
      </c>
      <c r="U384" s="445">
        <f t="shared" si="87"/>
        <v>67.52</v>
      </c>
      <c r="V384" s="443">
        <f t="shared" si="88"/>
        <v>82759.66</v>
      </c>
      <c r="W384" s="231">
        <f t="shared" si="64"/>
        <v>82557.100000000006</v>
      </c>
      <c r="X384" s="231">
        <f t="shared" si="110"/>
        <v>35811.93</v>
      </c>
      <c r="Y384" s="231">
        <f t="shared" si="111"/>
        <v>67.52</v>
      </c>
      <c r="Z384" s="232">
        <f t="shared" si="112"/>
        <v>82624.62000000001</v>
      </c>
      <c r="AA384" s="22">
        <f t="shared" si="113"/>
        <v>0</v>
      </c>
      <c r="AB384" s="424">
        <f t="shared" si="114"/>
        <v>-3.1974423109204508E-12</v>
      </c>
      <c r="AC384" s="424">
        <f t="shared" si="115"/>
        <v>-1.4551915228366852E-11</v>
      </c>
    </row>
    <row r="385" spans="1:29" s="269" customFormat="1" ht="14.25" customHeight="1" x14ac:dyDescent="0.25">
      <c r="A385" s="272"/>
      <c r="B385" s="276"/>
      <c r="C385" s="266"/>
      <c r="D385" s="353" t="s">
        <v>518</v>
      </c>
      <c r="E385" s="267"/>
      <c r="F385" s="277"/>
      <c r="G385" s="265"/>
      <c r="H385" s="151"/>
      <c r="I385" s="151"/>
      <c r="J385" s="151"/>
      <c r="N385" s="315"/>
      <c r="O385" s="315"/>
      <c r="P385" s="315"/>
      <c r="R385" s="274"/>
      <c r="S385" s="274"/>
      <c r="T385" s="443"/>
      <c r="U385" s="445"/>
      <c r="V385" s="443"/>
      <c r="W385" s="274"/>
      <c r="X385" s="231">
        <f t="shared" si="110"/>
        <v>0</v>
      </c>
      <c r="Y385" s="231">
        <f t="shared" si="111"/>
        <v>0</v>
      </c>
      <c r="Z385" s="232">
        <f t="shared" si="112"/>
        <v>0</v>
      </c>
      <c r="AA385" s="22">
        <f t="shared" si="113"/>
        <v>0</v>
      </c>
      <c r="AB385" s="424">
        <f t="shared" si="114"/>
        <v>0</v>
      </c>
      <c r="AC385" s="424">
        <f t="shared" si="115"/>
        <v>0</v>
      </c>
    </row>
    <row r="386" spans="1:29" s="269" customFormat="1" ht="14.25" customHeight="1" x14ac:dyDescent="0.25">
      <c r="A386" s="272"/>
      <c r="B386" s="276"/>
      <c r="C386" s="266"/>
      <c r="D386" s="354" t="s">
        <v>563</v>
      </c>
      <c r="E386" s="267"/>
      <c r="F386" s="277">
        <v>45.2</v>
      </c>
      <c r="G386" s="265"/>
      <c r="H386" s="151"/>
      <c r="I386" s="151"/>
      <c r="J386" s="151"/>
      <c r="N386" s="315"/>
      <c r="O386" s="315"/>
      <c r="P386" s="315"/>
      <c r="R386" s="274">
        <f>$R$384/$F$384*F386</f>
        <v>49891.258713886302</v>
      </c>
      <c r="S386" s="274">
        <f>S384/F384*F386</f>
        <v>15114.176514445477</v>
      </c>
      <c r="T386" s="443">
        <f>$T$384/$F$384*F386</f>
        <v>15028.848350419383</v>
      </c>
      <c r="U386" s="445"/>
      <c r="V386" s="443">
        <f t="shared" si="88"/>
        <v>34862.410363466915</v>
      </c>
      <c r="W386" s="274">
        <f>W384/F384*F386</f>
        <v>34777.082199440825</v>
      </c>
      <c r="X386" s="231">
        <f t="shared" si="110"/>
        <v>15114.176514445477</v>
      </c>
      <c r="Y386" s="231">
        <f t="shared" si="111"/>
        <v>0</v>
      </c>
      <c r="Z386" s="232">
        <f t="shared" si="112"/>
        <v>34777.082199440825</v>
      </c>
      <c r="AA386" s="22">
        <f t="shared" si="113"/>
        <v>0</v>
      </c>
      <c r="AB386" s="424">
        <f t="shared" si="114"/>
        <v>0</v>
      </c>
      <c r="AC386" s="424">
        <f t="shared" si="115"/>
        <v>0</v>
      </c>
    </row>
    <row r="387" spans="1:29" s="269" customFormat="1" ht="14.25" customHeight="1" x14ac:dyDescent="0.25">
      <c r="A387" s="272"/>
      <c r="B387" s="276"/>
      <c r="C387" s="266"/>
      <c r="D387" s="354" t="s">
        <v>564</v>
      </c>
      <c r="E387" s="267"/>
      <c r="F387" s="277">
        <v>62.1</v>
      </c>
      <c r="G387" s="265"/>
      <c r="H387" s="151"/>
      <c r="I387" s="151"/>
      <c r="J387" s="151"/>
      <c r="N387" s="315"/>
      <c r="O387" s="315"/>
      <c r="P387" s="315"/>
      <c r="R387" s="274">
        <f>$R$384/$F$384*F387</f>
        <v>68545.291286113701</v>
      </c>
      <c r="S387" s="274">
        <f>S384/F384*F387</f>
        <v>20765.273485554517</v>
      </c>
      <c r="T387" s="443">
        <f>$T$384/$F$384*F387</f>
        <v>20648.041649580613</v>
      </c>
      <c r="U387" s="445"/>
      <c r="V387" s="443">
        <f t="shared" si="88"/>
        <v>47897.249636533088</v>
      </c>
      <c r="W387" s="274">
        <f>W384/F384*F387</f>
        <v>47780.017800559181</v>
      </c>
      <c r="X387" s="231">
        <f t="shared" si="110"/>
        <v>20765.273485554517</v>
      </c>
      <c r="Y387" s="231">
        <f t="shared" si="111"/>
        <v>0</v>
      </c>
      <c r="Z387" s="232">
        <f t="shared" si="112"/>
        <v>47780.017800559181</v>
      </c>
      <c r="AA387" s="22">
        <f t="shared" si="113"/>
        <v>0</v>
      </c>
      <c r="AB387" s="424">
        <f t="shared" si="114"/>
        <v>0</v>
      </c>
      <c r="AC387" s="424">
        <f t="shared" si="115"/>
        <v>7.2759576141834259E-12</v>
      </c>
    </row>
    <row r="388" spans="1:29" s="269" customFormat="1" ht="14.25" customHeight="1" x14ac:dyDescent="0.25">
      <c r="A388" s="340"/>
      <c r="B388" s="293"/>
      <c r="C388" s="341"/>
      <c r="D388" s="293"/>
      <c r="E388" s="294"/>
      <c r="F388" s="355"/>
      <c r="G388" s="349"/>
      <c r="H388" s="344"/>
      <c r="I388" s="344"/>
      <c r="J388" s="344"/>
      <c r="K388" s="345"/>
      <c r="L388" s="345"/>
      <c r="M388" s="345"/>
      <c r="N388" s="350"/>
      <c r="O388" s="350"/>
      <c r="P388" s="350"/>
      <c r="Q388" s="345"/>
      <c r="R388" s="322"/>
      <c r="S388" s="322"/>
      <c r="T388" s="443"/>
      <c r="U388" s="445"/>
      <c r="V388" s="443"/>
      <c r="W388" s="322"/>
      <c r="X388" s="231">
        <f t="shared" si="110"/>
        <v>0</v>
      </c>
      <c r="Y388" s="231">
        <f t="shared" si="111"/>
        <v>0</v>
      </c>
      <c r="Z388" s="232">
        <f t="shared" si="112"/>
        <v>0</v>
      </c>
      <c r="AA388" s="22">
        <f t="shared" si="113"/>
        <v>0</v>
      </c>
      <c r="AB388" s="424">
        <f t="shared" si="114"/>
        <v>0</v>
      </c>
      <c r="AC388" s="424">
        <f t="shared" si="115"/>
        <v>0</v>
      </c>
    </row>
    <row r="389" spans="1:29" s="257" customFormat="1" ht="14.25" customHeight="1" x14ac:dyDescent="0.25">
      <c r="A389" s="224">
        <f>SUM(A384+1)</f>
        <v>98</v>
      </c>
      <c r="B389" s="225" t="s">
        <v>182</v>
      </c>
      <c r="C389" s="226">
        <v>374</v>
      </c>
      <c r="D389" s="225" t="s">
        <v>176</v>
      </c>
      <c r="E389" s="454">
        <v>34</v>
      </c>
      <c r="F389" s="252">
        <f>F390</f>
        <v>42.06</v>
      </c>
      <c r="G389" s="248">
        <v>1968</v>
      </c>
      <c r="H389" s="237">
        <f>SUM(Лист1!G113)</f>
        <v>74434.77</v>
      </c>
      <c r="I389" s="237">
        <f>SUM(Лист1!H113)</f>
        <v>22126.36</v>
      </c>
      <c r="J389" s="237">
        <f>SUM(Лист1!I113)</f>
        <v>42.6</v>
      </c>
      <c r="K389" s="261"/>
      <c r="L389" s="261"/>
      <c r="M389" s="261"/>
      <c r="N389" s="259">
        <v>390.53</v>
      </c>
      <c r="O389" s="259">
        <v>310.27999999999997</v>
      </c>
      <c r="P389" s="259">
        <v>0.56999999999999995</v>
      </c>
      <c r="Q389" s="261"/>
      <c r="R389" s="231">
        <f t="shared" ref="R389" si="117">SUM(H389+N389)</f>
        <v>74825.3</v>
      </c>
      <c r="S389" s="231">
        <f>SUM(I389+O389-J389)</f>
        <v>22394.04</v>
      </c>
      <c r="T389" s="443">
        <f>S389-3*U389</f>
        <v>22264.530000000002</v>
      </c>
      <c r="U389" s="445">
        <f t="shared" si="87"/>
        <v>43.17</v>
      </c>
      <c r="V389" s="443">
        <f t="shared" si="88"/>
        <v>52560.770000000004</v>
      </c>
      <c r="W389" s="238">
        <f t="shared" si="64"/>
        <v>52431.26</v>
      </c>
      <c r="X389" s="231">
        <f t="shared" si="110"/>
        <v>22350.870000000003</v>
      </c>
      <c r="Y389" s="231">
        <f t="shared" si="111"/>
        <v>43.17</v>
      </c>
      <c r="Z389" s="232">
        <f t="shared" si="112"/>
        <v>52474.43</v>
      </c>
      <c r="AA389" s="22">
        <f t="shared" si="113"/>
        <v>0</v>
      </c>
      <c r="AB389" s="424">
        <f t="shared" si="114"/>
        <v>-1.7479351299698465E-12</v>
      </c>
      <c r="AC389" s="424">
        <f t="shared" si="115"/>
        <v>0</v>
      </c>
    </row>
    <row r="390" spans="1:29" s="269" customFormat="1" ht="14.25" customHeight="1" x14ac:dyDescent="0.25">
      <c r="A390" s="272"/>
      <c r="B390" s="276"/>
      <c r="C390" s="266"/>
      <c r="D390" s="353" t="s">
        <v>495</v>
      </c>
      <c r="E390" s="457"/>
      <c r="F390" s="268">
        <v>42.06</v>
      </c>
      <c r="G390" s="278"/>
      <c r="H390" s="151"/>
      <c r="I390" s="151"/>
      <c r="J390" s="151"/>
      <c r="N390" s="315"/>
      <c r="O390" s="315"/>
      <c r="P390" s="315"/>
      <c r="R390" s="274"/>
      <c r="S390" s="274"/>
      <c r="T390" s="443"/>
      <c r="U390" s="445"/>
      <c r="V390" s="443"/>
      <c r="W390" s="295"/>
      <c r="X390" s="231">
        <f t="shared" si="110"/>
        <v>0</v>
      </c>
      <c r="Y390" s="231">
        <f t="shared" si="111"/>
        <v>0</v>
      </c>
      <c r="Z390" s="232">
        <f t="shared" si="112"/>
        <v>0</v>
      </c>
      <c r="AA390" s="22">
        <f t="shared" si="113"/>
        <v>0</v>
      </c>
      <c r="AB390" s="424">
        <f t="shared" si="114"/>
        <v>0</v>
      </c>
      <c r="AC390" s="424">
        <f t="shared" si="115"/>
        <v>0</v>
      </c>
    </row>
    <row r="391" spans="1:29" s="269" customFormat="1" ht="14.25" customHeight="1" x14ac:dyDescent="0.25">
      <c r="A391" s="340"/>
      <c r="B391" s="293"/>
      <c r="C391" s="341"/>
      <c r="D391" s="485"/>
      <c r="E391" s="470"/>
      <c r="F391" s="342"/>
      <c r="G391" s="343"/>
      <c r="H391" s="344"/>
      <c r="I391" s="344"/>
      <c r="J391" s="344"/>
      <c r="K391" s="345"/>
      <c r="L391" s="345"/>
      <c r="M391" s="345"/>
      <c r="N391" s="350"/>
      <c r="O391" s="350"/>
      <c r="P391" s="350"/>
      <c r="Q391" s="345"/>
      <c r="R391" s="322"/>
      <c r="S391" s="322"/>
      <c r="T391" s="443"/>
      <c r="U391" s="445"/>
      <c r="V391" s="443"/>
      <c r="W391" s="347"/>
      <c r="X391" s="231">
        <f t="shared" si="110"/>
        <v>0</v>
      </c>
      <c r="Y391" s="231">
        <f t="shared" si="111"/>
        <v>0</v>
      </c>
      <c r="Z391" s="232">
        <f t="shared" si="112"/>
        <v>0</v>
      </c>
      <c r="AA391" s="22">
        <f t="shared" si="113"/>
        <v>0</v>
      </c>
      <c r="AB391" s="424">
        <f t="shared" si="114"/>
        <v>0</v>
      </c>
      <c r="AC391" s="424">
        <f t="shared" si="115"/>
        <v>0</v>
      </c>
    </row>
    <row r="392" spans="1:29" s="257" customFormat="1" ht="14.25" customHeight="1" x14ac:dyDescent="0.25">
      <c r="A392" s="224">
        <f>SUM(A389+1)</f>
        <v>99</v>
      </c>
      <c r="B392" s="225" t="s">
        <v>183</v>
      </c>
      <c r="C392" s="226">
        <v>376</v>
      </c>
      <c r="D392" s="225" t="s">
        <v>176</v>
      </c>
      <c r="E392" s="251">
        <v>38</v>
      </c>
      <c r="F392" s="245">
        <f>F393</f>
        <v>39.96</v>
      </c>
      <c r="G392" s="258">
        <v>1969</v>
      </c>
      <c r="H392" s="237">
        <f>SUM(Лист1!G114)</f>
        <v>64065.3</v>
      </c>
      <c r="I392" s="237">
        <f>SUM(Лист1!H114)</f>
        <v>19184.060000000001</v>
      </c>
      <c r="J392" s="237">
        <f>SUM(Лист1!I114)</f>
        <v>36.53</v>
      </c>
      <c r="K392" s="261"/>
      <c r="L392" s="261"/>
      <c r="M392" s="261"/>
      <c r="N392" s="259">
        <v>274.76</v>
      </c>
      <c r="O392" s="259">
        <v>214.45</v>
      </c>
      <c r="P392" s="259">
        <v>0.39</v>
      </c>
      <c r="Q392" s="261"/>
      <c r="R392" s="231">
        <f t="shared" ref="R392" si="118">SUM(H392+N392)</f>
        <v>64340.060000000005</v>
      </c>
      <c r="S392" s="231">
        <f>SUM(I392+O392-J392)</f>
        <v>19361.980000000003</v>
      </c>
      <c r="T392" s="443">
        <f>S392-3*U392</f>
        <v>19251.220000000005</v>
      </c>
      <c r="U392" s="445">
        <f t="shared" si="87"/>
        <v>36.92</v>
      </c>
      <c r="V392" s="443">
        <f t="shared" si="88"/>
        <v>45088.84</v>
      </c>
      <c r="W392" s="238">
        <f t="shared" si="64"/>
        <v>44978.080000000002</v>
      </c>
      <c r="X392" s="231">
        <f t="shared" si="110"/>
        <v>19325.060000000005</v>
      </c>
      <c r="Y392" s="231">
        <f t="shared" si="111"/>
        <v>36.92</v>
      </c>
      <c r="Z392" s="232">
        <f t="shared" si="112"/>
        <v>45015</v>
      </c>
      <c r="AA392" s="22">
        <f t="shared" si="113"/>
        <v>0</v>
      </c>
      <c r="AB392" s="424">
        <f t="shared" si="114"/>
        <v>-1.7479351299698465E-12</v>
      </c>
      <c r="AC392" s="424">
        <f t="shared" si="115"/>
        <v>0</v>
      </c>
    </row>
    <row r="393" spans="1:29" s="149" customFormat="1" ht="14.25" customHeight="1" x14ac:dyDescent="0.25">
      <c r="A393" s="163"/>
      <c r="B393" s="167"/>
      <c r="C393" s="146"/>
      <c r="D393" s="353" t="s">
        <v>496</v>
      </c>
      <c r="E393" s="147"/>
      <c r="F393" s="205">
        <v>39.96</v>
      </c>
      <c r="G393" s="144"/>
      <c r="H393" s="148"/>
      <c r="I393" s="148"/>
      <c r="J393" s="148"/>
      <c r="N393" s="140"/>
      <c r="O393" s="140"/>
      <c r="P393" s="140"/>
      <c r="R393" s="211"/>
      <c r="S393" s="211"/>
      <c r="T393" s="443"/>
      <c r="U393" s="445"/>
      <c r="V393" s="443"/>
      <c r="W393" s="212"/>
      <c r="X393" s="231">
        <f t="shared" si="110"/>
        <v>0</v>
      </c>
      <c r="Y393" s="231">
        <f t="shared" si="111"/>
        <v>0</v>
      </c>
      <c r="Z393" s="232">
        <f t="shared" si="112"/>
        <v>0</v>
      </c>
      <c r="AA393" s="22">
        <f t="shared" si="113"/>
        <v>0</v>
      </c>
      <c r="AB393" s="424">
        <f t="shared" si="114"/>
        <v>0</v>
      </c>
      <c r="AC393" s="424">
        <f t="shared" si="115"/>
        <v>0</v>
      </c>
    </row>
    <row r="394" spans="1:29" s="149" customFormat="1" ht="14.25" customHeight="1" x14ac:dyDescent="0.25">
      <c r="A394" s="152"/>
      <c r="B394" s="143"/>
      <c r="C394" s="154"/>
      <c r="D394" s="143"/>
      <c r="E394" s="155"/>
      <c r="F394" s="206"/>
      <c r="G394" s="156"/>
      <c r="H394" s="157"/>
      <c r="I394" s="157"/>
      <c r="J394" s="157"/>
      <c r="K394" s="171"/>
      <c r="L394" s="171"/>
      <c r="M394" s="171"/>
      <c r="N394" s="159"/>
      <c r="O394" s="159"/>
      <c r="P394" s="159"/>
      <c r="Q394" s="171"/>
      <c r="R394" s="213"/>
      <c r="S394" s="213"/>
      <c r="T394" s="443"/>
      <c r="U394" s="445"/>
      <c r="V394" s="443"/>
      <c r="W394" s="214"/>
      <c r="X394" s="231">
        <f t="shared" si="110"/>
        <v>0</v>
      </c>
      <c r="Y394" s="231">
        <f t="shared" si="111"/>
        <v>0</v>
      </c>
      <c r="Z394" s="232">
        <f t="shared" si="112"/>
        <v>0</v>
      </c>
      <c r="AA394" s="22">
        <f t="shared" si="113"/>
        <v>0</v>
      </c>
      <c r="AB394" s="424">
        <f t="shared" si="114"/>
        <v>0</v>
      </c>
      <c r="AC394" s="424">
        <f t="shared" si="115"/>
        <v>0</v>
      </c>
    </row>
    <row r="395" spans="1:29" s="257" customFormat="1" ht="14.25" customHeight="1" x14ac:dyDescent="0.25">
      <c r="A395" s="224">
        <f>SUM(A392+1)</f>
        <v>100</v>
      </c>
      <c r="B395" s="225" t="s">
        <v>184</v>
      </c>
      <c r="C395" s="226">
        <v>377</v>
      </c>
      <c r="D395" s="225" t="s">
        <v>185</v>
      </c>
      <c r="E395" s="454">
        <v>39</v>
      </c>
      <c r="F395" s="252">
        <v>90.1</v>
      </c>
      <c r="G395" s="248">
        <v>1963</v>
      </c>
      <c r="H395" s="237">
        <f>SUM(Лист1!G115)</f>
        <v>140970.22</v>
      </c>
      <c r="I395" s="237">
        <f>SUM(Лист1!H115)</f>
        <v>47936.42</v>
      </c>
      <c r="J395" s="237">
        <f>SUM(Лист1!I115)</f>
        <v>90.21</v>
      </c>
      <c r="K395" s="261"/>
      <c r="L395" s="261"/>
      <c r="M395" s="261"/>
      <c r="N395" s="259">
        <v>330.27</v>
      </c>
      <c r="O395" s="259">
        <v>282</v>
      </c>
      <c r="P395" s="259">
        <v>0.53</v>
      </c>
      <c r="Q395" s="261"/>
      <c r="R395" s="231">
        <f t="shared" ref="R395" si="119">SUM(H395+N395)</f>
        <v>141300.49</v>
      </c>
      <c r="S395" s="231">
        <f>SUM(I395+O395-J395)</f>
        <v>48128.21</v>
      </c>
      <c r="T395" s="443">
        <f>S395-3*U395</f>
        <v>47855.99</v>
      </c>
      <c r="U395" s="445">
        <f t="shared" si="87"/>
        <v>90.74</v>
      </c>
      <c r="V395" s="443">
        <f t="shared" si="88"/>
        <v>93444.5</v>
      </c>
      <c r="W395" s="238">
        <f t="shared" si="64"/>
        <v>93172.28</v>
      </c>
      <c r="X395" s="231">
        <f t="shared" si="110"/>
        <v>48037.47</v>
      </c>
      <c r="Y395" s="231">
        <f t="shared" si="111"/>
        <v>90.74</v>
      </c>
      <c r="Z395" s="232">
        <f t="shared" si="112"/>
        <v>93263.02</v>
      </c>
      <c r="AA395" s="22">
        <f t="shared" si="113"/>
        <v>0</v>
      </c>
      <c r="AB395" s="424">
        <f t="shared" si="114"/>
        <v>-2.0321522242738865E-12</v>
      </c>
      <c r="AC395" s="424">
        <f t="shared" si="115"/>
        <v>-1.4551915228366852E-11</v>
      </c>
    </row>
    <row r="396" spans="1:29" s="149" customFormat="1" ht="14.25" customHeight="1" x14ac:dyDescent="0.25">
      <c r="A396" s="163"/>
      <c r="B396" s="167"/>
      <c r="C396" s="146"/>
      <c r="D396" s="357" t="s">
        <v>518</v>
      </c>
      <c r="E396" s="169"/>
      <c r="F396" s="139"/>
      <c r="G396" s="249"/>
      <c r="H396" s="148"/>
      <c r="I396" s="148"/>
      <c r="J396" s="148"/>
      <c r="N396" s="140"/>
      <c r="O396" s="140"/>
      <c r="P396" s="140"/>
      <c r="R396" s="211"/>
      <c r="S396" s="211"/>
      <c r="T396" s="443"/>
      <c r="U396" s="445"/>
      <c r="V396" s="443"/>
      <c r="W396" s="212"/>
      <c r="X396" s="231">
        <f t="shared" si="110"/>
        <v>0</v>
      </c>
      <c r="Y396" s="231">
        <f t="shared" si="111"/>
        <v>0</v>
      </c>
      <c r="Z396" s="232">
        <f t="shared" si="112"/>
        <v>0</v>
      </c>
      <c r="AA396" s="22">
        <f t="shared" si="113"/>
        <v>0</v>
      </c>
      <c r="AB396" s="424">
        <f t="shared" si="114"/>
        <v>0</v>
      </c>
      <c r="AC396" s="424">
        <f t="shared" si="115"/>
        <v>0</v>
      </c>
    </row>
    <row r="397" spans="1:29" s="149" customFormat="1" ht="14.25" customHeight="1" x14ac:dyDescent="0.25">
      <c r="A397" s="163"/>
      <c r="B397" s="167"/>
      <c r="C397" s="146"/>
      <c r="D397" s="358" t="s">
        <v>511</v>
      </c>
      <c r="E397" s="169"/>
      <c r="F397" s="139">
        <v>46.07</v>
      </c>
      <c r="G397" s="249"/>
      <c r="H397" s="148"/>
      <c r="I397" s="148"/>
      <c r="J397" s="148"/>
      <c r="N397" s="140"/>
      <c r="O397" s="140"/>
      <c r="P397" s="140"/>
      <c r="R397" s="211">
        <f>$R$395/$F$395*F397</f>
        <v>72249.873188679238</v>
      </c>
      <c r="S397" s="211">
        <f>S395/F395*F397</f>
        <v>24608.952660377363</v>
      </c>
      <c r="T397" s="443">
        <f>$T$395/$F$395*F397</f>
        <v>24469.760924528302</v>
      </c>
      <c r="U397" s="445"/>
      <c r="V397" s="443">
        <f t="shared" si="88"/>
        <v>47780.112264150936</v>
      </c>
      <c r="W397" s="212">
        <f>W395/F395*F397</f>
        <v>47640.920528301889</v>
      </c>
      <c r="X397" s="231">
        <f t="shared" si="110"/>
        <v>24608.952660377363</v>
      </c>
      <c r="Y397" s="231">
        <f t="shared" si="111"/>
        <v>0</v>
      </c>
      <c r="Z397" s="232">
        <f t="shared" si="112"/>
        <v>47640.920528301889</v>
      </c>
      <c r="AA397" s="22">
        <f t="shared" si="113"/>
        <v>0</v>
      </c>
      <c r="AB397" s="424">
        <f t="shared" si="114"/>
        <v>0</v>
      </c>
      <c r="AC397" s="424">
        <f t="shared" si="115"/>
        <v>-1.4551915228366852E-11</v>
      </c>
    </row>
    <row r="398" spans="1:29" s="149" customFormat="1" ht="14.25" customHeight="1" x14ac:dyDescent="0.25">
      <c r="A398" s="163"/>
      <c r="B398" s="167"/>
      <c r="C398" s="146"/>
      <c r="D398" s="358" t="s">
        <v>566</v>
      </c>
      <c r="E398" s="169"/>
      <c r="F398" s="139">
        <v>44.03</v>
      </c>
      <c r="G398" s="249"/>
      <c r="H398" s="148"/>
      <c r="I398" s="148"/>
      <c r="J398" s="148"/>
      <c r="N398" s="140"/>
      <c r="O398" s="140"/>
      <c r="P398" s="140"/>
      <c r="R398" s="211">
        <f>$R$395/$F$395*F398</f>
        <v>69050.616811320753</v>
      </c>
      <c r="S398" s="211">
        <f>S395/F395*F398</f>
        <v>23519.257339622643</v>
      </c>
      <c r="T398" s="443">
        <f>$T$395/$F$395*F398</f>
        <v>23386.2290754717</v>
      </c>
      <c r="U398" s="445"/>
      <c r="V398" s="443">
        <f t="shared" si="88"/>
        <v>45664.387735849057</v>
      </c>
      <c r="W398" s="212">
        <f>W395/F395*F398</f>
        <v>45531.359471698117</v>
      </c>
      <c r="X398" s="231">
        <f t="shared" si="110"/>
        <v>23519.257339622643</v>
      </c>
      <c r="Y398" s="231">
        <f t="shared" si="111"/>
        <v>0</v>
      </c>
      <c r="Z398" s="232">
        <f t="shared" si="112"/>
        <v>45531.359471698117</v>
      </c>
      <c r="AA398" s="22">
        <f t="shared" si="113"/>
        <v>0</v>
      </c>
      <c r="AB398" s="424">
        <f t="shared" si="114"/>
        <v>0</v>
      </c>
      <c r="AC398" s="424">
        <f t="shared" si="115"/>
        <v>-7.2759576141834259E-12</v>
      </c>
    </row>
    <row r="399" spans="1:29" s="149" customFormat="1" ht="14.25" customHeight="1" x14ac:dyDescent="0.25">
      <c r="A399" s="152"/>
      <c r="B399" s="143"/>
      <c r="C399" s="154"/>
      <c r="D399" s="143"/>
      <c r="E399" s="170"/>
      <c r="F399" s="158"/>
      <c r="G399" s="142"/>
      <c r="H399" s="157"/>
      <c r="I399" s="157"/>
      <c r="J399" s="157"/>
      <c r="K399" s="171"/>
      <c r="L399" s="171"/>
      <c r="M399" s="171"/>
      <c r="N399" s="159"/>
      <c r="O399" s="159"/>
      <c r="P399" s="159"/>
      <c r="Q399" s="171"/>
      <c r="R399" s="213"/>
      <c r="S399" s="213"/>
      <c r="T399" s="443"/>
      <c r="U399" s="445"/>
      <c r="V399" s="443"/>
      <c r="W399" s="214"/>
      <c r="X399" s="231">
        <f t="shared" si="110"/>
        <v>0</v>
      </c>
      <c r="Y399" s="231">
        <f t="shared" si="111"/>
        <v>0</v>
      </c>
      <c r="Z399" s="232">
        <f t="shared" si="112"/>
        <v>0</v>
      </c>
      <c r="AA399" s="22">
        <f t="shared" si="113"/>
        <v>0</v>
      </c>
      <c r="AB399" s="424">
        <f t="shared" si="114"/>
        <v>0</v>
      </c>
      <c r="AC399" s="424">
        <f t="shared" si="115"/>
        <v>0</v>
      </c>
    </row>
    <row r="400" spans="1:29" s="287" customFormat="1" ht="14.25" customHeight="1" x14ac:dyDescent="0.25">
      <c r="A400" s="313">
        <f>SUM(A395+1)</f>
        <v>101</v>
      </c>
      <c r="B400" s="307" t="s">
        <v>186</v>
      </c>
      <c r="C400" s="348">
        <v>378</v>
      </c>
      <c r="D400" s="307" t="s">
        <v>185</v>
      </c>
      <c r="E400" s="469">
        <v>41</v>
      </c>
      <c r="F400" s="308">
        <f>F402+F403</f>
        <v>100.19999999999999</v>
      </c>
      <c r="G400" s="339">
        <v>1962</v>
      </c>
      <c r="H400" s="310">
        <f>SUM(Лист1!G116)</f>
        <v>150370.99</v>
      </c>
      <c r="I400" s="310">
        <f>SUM(Лист1!H116)</f>
        <v>49534.81</v>
      </c>
      <c r="J400" s="310">
        <f>SUM(Лист1!I116)</f>
        <v>96.1</v>
      </c>
      <c r="K400" s="311"/>
      <c r="L400" s="311"/>
      <c r="M400" s="311"/>
      <c r="N400" s="319">
        <v>501.47</v>
      </c>
      <c r="O400" s="319">
        <v>273.42</v>
      </c>
      <c r="P400" s="319">
        <v>0.52</v>
      </c>
      <c r="Q400" s="311"/>
      <c r="R400" s="231">
        <f t="shared" ref="R400" si="120">SUM(H400+N400)</f>
        <v>150872.46</v>
      </c>
      <c r="S400" s="231">
        <f>SUM(I400+O400-J400)</f>
        <v>49712.13</v>
      </c>
      <c r="T400" s="443">
        <f>S400-3*U400</f>
        <v>49422.27</v>
      </c>
      <c r="U400" s="445">
        <f t="shared" ref="U400:U462" si="121">J400+P400</f>
        <v>96.61999999999999</v>
      </c>
      <c r="V400" s="443">
        <f t="shared" ref="V400:V462" si="122">R400-T400</f>
        <v>101450.19</v>
      </c>
      <c r="W400" s="312">
        <f t="shared" si="64"/>
        <v>101160.32999999999</v>
      </c>
      <c r="X400" s="231">
        <f t="shared" si="110"/>
        <v>49615.509999999995</v>
      </c>
      <c r="Y400" s="231">
        <f t="shared" si="111"/>
        <v>96.61999999999999</v>
      </c>
      <c r="Z400" s="232">
        <f t="shared" si="112"/>
        <v>101256.94999999998</v>
      </c>
      <c r="AA400" s="22">
        <f t="shared" si="113"/>
        <v>0</v>
      </c>
      <c r="AB400" s="424">
        <f t="shared" si="114"/>
        <v>2.6290081223123707E-12</v>
      </c>
      <c r="AC400" s="424">
        <f t="shared" si="115"/>
        <v>1.4551915228366852E-11</v>
      </c>
    </row>
    <row r="401" spans="1:29" s="269" customFormat="1" ht="14.25" customHeight="1" x14ac:dyDescent="0.25">
      <c r="A401" s="272"/>
      <c r="B401" s="276"/>
      <c r="C401" s="266"/>
      <c r="D401" s="353" t="s">
        <v>518</v>
      </c>
      <c r="E401" s="457"/>
      <c r="F401" s="268"/>
      <c r="G401" s="278"/>
      <c r="H401" s="151"/>
      <c r="I401" s="151"/>
      <c r="J401" s="151"/>
      <c r="N401" s="315"/>
      <c r="O401" s="315"/>
      <c r="P401" s="315"/>
      <c r="R401" s="274"/>
      <c r="S401" s="274"/>
      <c r="T401" s="443"/>
      <c r="U401" s="445"/>
      <c r="V401" s="443"/>
      <c r="W401" s="295"/>
      <c r="X401" s="231">
        <f t="shared" si="110"/>
        <v>0</v>
      </c>
      <c r="Y401" s="231">
        <f t="shared" si="111"/>
        <v>0</v>
      </c>
      <c r="Z401" s="232">
        <f t="shared" si="112"/>
        <v>0</v>
      </c>
      <c r="AA401" s="22">
        <f t="shared" si="113"/>
        <v>0</v>
      </c>
      <c r="AB401" s="424">
        <f t="shared" si="114"/>
        <v>0</v>
      </c>
      <c r="AC401" s="424">
        <f t="shared" si="115"/>
        <v>0</v>
      </c>
    </row>
    <row r="402" spans="1:29" s="269" customFormat="1" ht="14.25" customHeight="1" x14ac:dyDescent="0.25">
      <c r="A402" s="272"/>
      <c r="B402" s="276"/>
      <c r="C402" s="266"/>
      <c r="D402" s="354" t="s">
        <v>567</v>
      </c>
      <c r="E402" s="457"/>
      <c r="F402" s="268">
        <v>57.9</v>
      </c>
      <c r="G402" s="278"/>
      <c r="H402" s="151"/>
      <c r="I402" s="151"/>
      <c r="J402" s="151"/>
      <c r="N402" s="315"/>
      <c r="O402" s="315"/>
      <c r="P402" s="315"/>
      <c r="R402" s="274">
        <f>$R$400/$F$400*F402</f>
        <v>87180.79275449102</v>
      </c>
      <c r="S402" s="274">
        <f>S400/F400*F402</f>
        <v>28725.87152694611</v>
      </c>
      <c r="T402" s="443">
        <f>$T$400/$F$400*F402</f>
        <v>28558.377574850299</v>
      </c>
      <c r="U402" s="445"/>
      <c r="V402" s="443">
        <f t="shared" si="122"/>
        <v>58622.415179640724</v>
      </c>
      <c r="W402" s="295">
        <f>W400/F400*F402</f>
        <v>58454.92122754491</v>
      </c>
      <c r="X402" s="231">
        <f t="shared" si="110"/>
        <v>28725.87152694611</v>
      </c>
      <c r="Y402" s="231">
        <f t="shared" si="111"/>
        <v>0</v>
      </c>
      <c r="Z402" s="232">
        <f t="shared" si="112"/>
        <v>58454.92122754491</v>
      </c>
      <c r="AA402" s="22">
        <f t="shared" si="113"/>
        <v>0</v>
      </c>
      <c r="AB402" s="424">
        <f t="shared" si="114"/>
        <v>0</v>
      </c>
      <c r="AC402" s="424">
        <f t="shared" si="115"/>
        <v>0</v>
      </c>
    </row>
    <row r="403" spans="1:29" s="269" customFormat="1" ht="14.25" customHeight="1" x14ac:dyDescent="0.25">
      <c r="A403" s="272"/>
      <c r="B403" s="276"/>
      <c r="C403" s="266"/>
      <c r="D403" s="354" t="s">
        <v>510</v>
      </c>
      <c r="E403" s="457"/>
      <c r="F403" s="268">
        <v>42.3</v>
      </c>
      <c r="G403" s="278"/>
      <c r="H403" s="151"/>
      <c r="I403" s="151"/>
      <c r="J403" s="151"/>
      <c r="N403" s="315"/>
      <c r="O403" s="315"/>
      <c r="P403" s="315"/>
      <c r="R403" s="274">
        <f>$R$400/$F$400*F403</f>
        <v>63691.667245508979</v>
      </c>
      <c r="S403" s="274">
        <f>S400/F400*F403</f>
        <v>20986.258473053891</v>
      </c>
      <c r="T403" s="443">
        <f>$T$400/$F$400*F403</f>
        <v>20863.892425149701</v>
      </c>
      <c r="U403" s="445"/>
      <c r="V403" s="443">
        <f t="shared" si="122"/>
        <v>42827.774820359278</v>
      </c>
      <c r="W403" s="295">
        <f>W400/F400*F403</f>
        <v>42705.408772455085</v>
      </c>
      <c r="X403" s="231">
        <f t="shared" si="110"/>
        <v>20986.258473053891</v>
      </c>
      <c r="Y403" s="231">
        <f t="shared" si="111"/>
        <v>0</v>
      </c>
      <c r="Z403" s="232">
        <f t="shared" si="112"/>
        <v>42705.408772455085</v>
      </c>
      <c r="AA403" s="22">
        <f t="shared" si="113"/>
        <v>0</v>
      </c>
      <c r="AB403" s="424">
        <f t="shared" si="114"/>
        <v>0</v>
      </c>
      <c r="AC403" s="424">
        <f t="shared" si="115"/>
        <v>7.2759576141834259E-12</v>
      </c>
    </row>
    <row r="404" spans="1:29" s="149" customFormat="1" ht="14.25" customHeight="1" x14ac:dyDescent="0.25">
      <c r="A404" s="152"/>
      <c r="B404" s="143"/>
      <c r="C404" s="154"/>
      <c r="D404" s="143"/>
      <c r="E404" s="170"/>
      <c r="F404" s="158"/>
      <c r="G404" s="142"/>
      <c r="H404" s="157"/>
      <c r="I404" s="157"/>
      <c r="J404" s="157"/>
      <c r="K404" s="171"/>
      <c r="L404" s="171"/>
      <c r="M404" s="171"/>
      <c r="N404" s="159"/>
      <c r="O404" s="159"/>
      <c r="P404" s="159"/>
      <c r="Q404" s="171"/>
      <c r="R404" s="213"/>
      <c r="S404" s="213"/>
      <c r="T404" s="443"/>
      <c r="U404" s="445"/>
      <c r="V404" s="443"/>
      <c r="W404" s="214"/>
      <c r="X404" s="231">
        <f t="shared" si="110"/>
        <v>0</v>
      </c>
      <c r="Y404" s="231">
        <f t="shared" si="111"/>
        <v>0</v>
      </c>
      <c r="Z404" s="232">
        <f t="shared" si="112"/>
        <v>0</v>
      </c>
      <c r="AA404" s="22">
        <f t="shared" si="113"/>
        <v>0</v>
      </c>
      <c r="AB404" s="424">
        <f t="shared" si="114"/>
        <v>0</v>
      </c>
      <c r="AC404" s="424">
        <f t="shared" si="115"/>
        <v>0</v>
      </c>
    </row>
    <row r="405" spans="1:29" s="257" customFormat="1" ht="14.25" customHeight="1" x14ac:dyDescent="0.25">
      <c r="A405" s="224">
        <f>SUM(A400+1)</f>
        <v>102</v>
      </c>
      <c r="B405" s="225" t="s">
        <v>187</v>
      </c>
      <c r="C405" s="226">
        <v>381</v>
      </c>
      <c r="D405" s="225" t="s">
        <v>171</v>
      </c>
      <c r="E405" s="454">
        <v>29</v>
      </c>
      <c r="F405" s="252">
        <v>265.7</v>
      </c>
      <c r="G405" s="248">
        <v>1980</v>
      </c>
      <c r="H405" s="237">
        <f>SUM(Лист1!G117)</f>
        <v>393338.6</v>
      </c>
      <c r="I405" s="237">
        <f>SUM(Лист1!H117)</f>
        <v>158486.09</v>
      </c>
      <c r="J405" s="237">
        <f>SUM(Лист1!I117)</f>
        <v>216.1</v>
      </c>
      <c r="K405" s="261"/>
      <c r="L405" s="261"/>
      <c r="M405" s="261"/>
      <c r="N405" s="252">
        <v>3349.48</v>
      </c>
      <c r="O405" s="252">
        <v>3053.56</v>
      </c>
      <c r="P405" s="259">
        <v>4.04</v>
      </c>
      <c r="Q405" s="261"/>
      <c r="R405" s="231">
        <f t="shared" ref="R405" si="123">SUM(H405+N405)</f>
        <v>396688.07999999996</v>
      </c>
      <c r="S405" s="231">
        <f>SUM(I405+O405-J405)</f>
        <v>161323.54999999999</v>
      </c>
      <c r="T405" s="443">
        <f>S405-3*U405</f>
        <v>160663.12999999998</v>
      </c>
      <c r="U405" s="445">
        <f t="shared" si="121"/>
        <v>220.14</v>
      </c>
      <c r="V405" s="443">
        <f t="shared" si="122"/>
        <v>236024.94999999998</v>
      </c>
      <c r="W405" s="238">
        <f t="shared" si="64"/>
        <v>235364.52999999997</v>
      </c>
      <c r="X405" s="231">
        <f t="shared" si="110"/>
        <v>161103.40999999997</v>
      </c>
      <c r="Y405" s="231">
        <f t="shared" si="111"/>
        <v>220.14</v>
      </c>
      <c r="Z405" s="232">
        <f t="shared" si="112"/>
        <v>235584.66999999998</v>
      </c>
      <c r="AA405" s="22">
        <f t="shared" si="113"/>
        <v>0</v>
      </c>
      <c r="AB405" s="424">
        <f t="shared" si="114"/>
        <v>1.3983481039758772E-11</v>
      </c>
      <c r="AC405" s="424">
        <f t="shared" si="115"/>
        <v>0</v>
      </c>
    </row>
    <row r="406" spans="1:29" s="149" customFormat="1" ht="14.25" customHeight="1" x14ac:dyDescent="0.25">
      <c r="A406" s="163"/>
      <c r="B406" s="167"/>
      <c r="C406" s="146"/>
      <c r="D406" s="161" t="s">
        <v>470</v>
      </c>
      <c r="E406" s="169"/>
      <c r="F406" s="139">
        <v>265.7</v>
      </c>
      <c r="G406" s="249"/>
      <c r="H406" s="148"/>
      <c r="I406" s="148"/>
      <c r="J406" s="148"/>
      <c r="N406" s="139"/>
      <c r="O406" s="139"/>
      <c r="P406" s="140"/>
      <c r="R406" s="211"/>
      <c r="S406" s="211"/>
      <c r="T406" s="443"/>
      <c r="U406" s="445"/>
      <c r="V406" s="443"/>
      <c r="W406" s="212"/>
      <c r="X406" s="231">
        <f t="shared" si="110"/>
        <v>0</v>
      </c>
      <c r="Y406" s="231">
        <f t="shared" si="111"/>
        <v>0</v>
      </c>
      <c r="Z406" s="232">
        <f t="shared" si="112"/>
        <v>0</v>
      </c>
      <c r="AA406" s="22">
        <f t="shared" si="113"/>
        <v>0</v>
      </c>
      <c r="AB406" s="424">
        <f t="shared" si="114"/>
        <v>0</v>
      </c>
      <c r="AC406" s="424">
        <f t="shared" si="115"/>
        <v>0</v>
      </c>
    </row>
    <row r="407" spans="1:29" s="149" customFormat="1" ht="14.25" customHeight="1" x14ac:dyDescent="0.25">
      <c r="A407" s="152"/>
      <c r="B407" s="143"/>
      <c r="C407" s="154"/>
      <c r="D407" s="143"/>
      <c r="E407" s="170"/>
      <c r="F407" s="158"/>
      <c r="G407" s="142"/>
      <c r="H407" s="157"/>
      <c r="I407" s="157"/>
      <c r="J407" s="157"/>
      <c r="K407" s="171"/>
      <c r="L407" s="171"/>
      <c r="M407" s="171"/>
      <c r="N407" s="158"/>
      <c r="O407" s="158"/>
      <c r="P407" s="159"/>
      <c r="Q407" s="171"/>
      <c r="R407" s="213"/>
      <c r="S407" s="213"/>
      <c r="T407" s="443"/>
      <c r="U407" s="445"/>
      <c r="V407" s="443"/>
      <c r="W407" s="214"/>
      <c r="X407" s="231">
        <f t="shared" si="110"/>
        <v>0</v>
      </c>
      <c r="Y407" s="231">
        <f t="shared" si="111"/>
        <v>0</v>
      </c>
      <c r="Z407" s="232">
        <f t="shared" si="112"/>
        <v>0</v>
      </c>
      <c r="AA407" s="22">
        <f t="shared" si="113"/>
        <v>0</v>
      </c>
      <c r="AB407" s="424">
        <f t="shared" si="114"/>
        <v>0</v>
      </c>
      <c r="AC407" s="424">
        <f t="shared" si="115"/>
        <v>0</v>
      </c>
    </row>
    <row r="408" spans="1:29" s="257" customFormat="1" ht="14.25" customHeight="1" x14ac:dyDescent="0.25">
      <c r="A408" s="224">
        <f>SUM(A405+1)</f>
        <v>103</v>
      </c>
      <c r="B408" s="225" t="s">
        <v>188</v>
      </c>
      <c r="C408" s="226">
        <v>382</v>
      </c>
      <c r="D408" s="225" t="s">
        <v>189</v>
      </c>
      <c r="E408" s="454">
        <v>14</v>
      </c>
      <c r="F408" s="252">
        <v>251.5</v>
      </c>
      <c r="G408" s="248">
        <v>1976</v>
      </c>
      <c r="H408" s="237">
        <f>SUM(Лист1!G118)</f>
        <v>710009.39</v>
      </c>
      <c r="I408" s="237">
        <f>SUM(Лист1!H118)</f>
        <v>297826.14</v>
      </c>
      <c r="J408" s="237">
        <f>SUM(Лист1!I118)</f>
        <v>432.52</v>
      </c>
      <c r="K408" s="261"/>
      <c r="L408" s="261"/>
      <c r="M408" s="261"/>
      <c r="N408" s="261"/>
      <c r="O408" s="261"/>
      <c r="P408" s="261"/>
      <c r="Q408" s="261"/>
      <c r="R408" s="231">
        <f t="shared" si="73"/>
        <v>710009.39</v>
      </c>
      <c r="S408" s="231">
        <f>SUM(I408+O408-J408)</f>
        <v>297393.62</v>
      </c>
      <c r="T408" s="443">
        <f>S408-3*U408</f>
        <v>296096.06</v>
      </c>
      <c r="U408" s="445">
        <f t="shared" si="121"/>
        <v>432.52</v>
      </c>
      <c r="V408" s="443">
        <f t="shared" si="122"/>
        <v>413913.33</v>
      </c>
      <c r="W408" s="238">
        <f t="shared" si="64"/>
        <v>412615.77</v>
      </c>
      <c r="X408" s="231">
        <f t="shared" si="110"/>
        <v>296961.09999999998</v>
      </c>
      <c r="Y408" s="231">
        <f t="shared" si="111"/>
        <v>432.52</v>
      </c>
      <c r="Z408" s="232">
        <f t="shared" si="112"/>
        <v>413048.29000000004</v>
      </c>
      <c r="AA408" s="22">
        <f t="shared" si="113"/>
        <v>0</v>
      </c>
      <c r="AB408" s="424">
        <f t="shared" si="114"/>
        <v>1.8644641386345029E-11</v>
      </c>
      <c r="AC408" s="424">
        <f t="shared" si="115"/>
        <v>0</v>
      </c>
    </row>
    <row r="409" spans="1:29" s="149" customFormat="1" ht="14.25" customHeight="1" x14ac:dyDescent="0.25">
      <c r="A409" s="163"/>
      <c r="B409" s="167"/>
      <c r="C409" s="146"/>
      <c r="D409" s="161" t="s">
        <v>470</v>
      </c>
      <c r="E409" s="169"/>
      <c r="F409" s="139">
        <v>251.5</v>
      </c>
      <c r="G409" s="249"/>
      <c r="H409" s="148"/>
      <c r="I409" s="148"/>
      <c r="J409" s="148"/>
      <c r="R409" s="211"/>
      <c r="S409" s="211"/>
      <c r="T409" s="443"/>
      <c r="U409" s="445"/>
      <c r="V409" s="443"/>
      <c r="W409" s="212"/>
      <c r="X409" s="231">
        <f t="shared" si="110"/>
        <v>0</v>
      </c>
      <c r="Y409" s="231">
        <f t="shared" si="111"/>
        <v>0</v>
      </c>
      <c r="Z409" s="232">
        <f t="shared" si="112"/>
        <v>0</v>
      </c>
      <c r="AA409" s="22">
        <f t="shared" si="113"/>
        <v>0</v>
      </c>
      <c r="AB409" s="424">
        <f t="shared" si="114"/>
        <v>0</v>
      </c>
      <c r="AC409" s="424">
        <f t="shared" si="115"/>
        <v>0</v>
      </c>
    </row>
    <row r="410" spans="1:29" s="149" customFormat="1" ht="14.25" customHeight="1" x14ac:dyDescent="0.25">
      <c r="A410" s="152"/>
      <c r="B410" s="143"/>
      <c r="C410" s="154"/>
      <c r="D410" s="143"/>
      <c r="E410" s="170"/>
      <c r="F410" s="158"/>
      <c r="G410" s="142"/>
      <c r="H410" s="157"/>
      <c r="I410" s="157"/>
      <c r="J410" s="157"/>
      <c r="K410" s="171"/>
      <c r="L410" s="171"/>
      <c r="M410" s="171"/>
      <c r="N410" s="171"/>
      <c r="O410" s="171"/>
      <c r="P410" s="171"/>
      <c r="Q410" s="171"/>
      <c r="R410" s="213"/>
      <c r="S410" s="213"/>
      <c r="T410" s="443"/>
      <c r="U410" s="445"/>
      <c r="V410" s="443"/>
      <c r="W410" s="214"/>
      <c r="X410" s="231">
        <f t="shared" si="110"/>
        <v>0</v>
      </c>
      <c r="Y410" s="231">
        <f t="shared" si="111"/>
        <v>0</v>
      </c>
      <c r="Z410" s="232">
        <f t="shared" si="112"/>
        <v>0</v>
      </c>
      <c r="AA410" s="22">
        <f t="shared" si="113"/>
        <v>0</v>
      </c>
      <c r="AB410" s="424">
        <f t="shared" si="114"/>
        <v>0</v>
      </c>
      <c r="AC410" s="424">
        <f t="shared" si="115"/>
        <v>0</v>
      </c>
    </row>
    <row r="411" spans="1:29" s="257" customFormat="1" ht="14.25" customHeight="1" x14ac:dyDescent="0.25">
      <c r="A411" s="224">
        <f>SUM(A408+1)</f>
        <v>104</v>
      </c>
      <c r="B411" s="225" t="s">
        <v>190</v>
      </c>
      <c r="C411" s="226">
        <v>383</v>
      </c>
      <c r="D411" s="225" t="s">
        <v>189</v>
      </c>
      <c r="E411" s="454">
        <v>16</v>
      </c>
      <c r="F411" s="229">
        <v>534.29999999999995</v>
      </c>
      <c r="G411" s="248">
        <v>1984</v>
      </c>
      <c r="H411" s="237">
        <f>SUM(Лист1!G119)</f>
        <v>1026323.81</v>
      </c>
      <c r="I411" s="237">
        <f>SUM(Лист1!H119)</f>
        <v>441136.33</v>
      </c>
      <c r="J411" s="237">
        <f>SUM(Лист1!I119)</f>
        <v>562.16999999999996</v>
      </c>
      <c r="K411" s="261"/>
      <c r="L411" s="261"/>
      <c r="M411" s="261"/>
      <c r="N411" s="261"/>
      <c r="O411" s="261"/>
      <c r="P411" s="261"/>
      <c r="Q411" s="261"/>
      <c r="R411" s="231">
        <f t="shared" si="73"/>
        <v>1026323.81</v>
      </c>
      <c r="S411" s="231">
        <f>SUM(I411+O411-J411)</f>
        <v>440574.16000000003</v>
      </c>
      <c r="T411" s="443">
        <f>S411-3*U411</f>
        <v>438887.65</v>
      </c>
      <c r="U411" s="445">
        <f t="shared" si="121"/>
        <v>562.16999999999996</v>
      </c>
      <c r="V411" s="443">
        <f t="shared" si="122"/>
        <v>587436.16</v>
      </c>
      <c r="W411" s="238">
        <f t="shared" si="64"/>
        <v>585749.65</v>
      </c>
      <c r="X411" s="231">
        <f t="shared" si="110"/>
        <v>440011.99000000005</v>
      </c>
      <c r="Y411" s="231">
        <f t="shared" si="111"/>
        <v>562.16999999999996</v>
      </c>
      <c r="Z411" s="232">
        <f t="shared" si="112"/>
        <v>586311.82000000007</v>
      </c>
      <c r="AA411" s="22">
        <f t="shared" si="113"/>
        <v>0</v>
      </c>
      <c r="AB411" s="424">
        <f t="shared" si="114"/>
        <v>-1.6257217794191092E-11</v>
      </c>
      <c r="AC411" s="424">
        <f t="shared" si="115"/>
        <v>0</v>
      </c>
    </row>
    <row r="412" spans="1:29" s="149" customFormat="1" ht="14.25" customHeight="1" x14ac:dyDescent="0.25">
      <c r="A412" s="163"/>
      <c r="B412" s="167"/>
      <c r="C412" s="146"/>
      <c r="D412" s="161" t="s">
        <v>470</v>
      </c>
      <c r="E412" s="169"/>
      <c r="F412" s="139">
        <v>534.29999999999995</v>
      </c>
      <c r="G412" s="249"/>
      <c r="H412" s="148"/>
      <c r="I412" s="148"/>
      <c r="J412" s="148"/>
      <c r="R412" s="211"/>
      <c r="S412" s="211"/>
      <c r="T412" s="443"/>
      <c r="U412" s="445"/>
      <c r="V412" s="443"/>
      <c r="W412" s="212"/>
      <c r="X412" s="231">
        <f t="shared" si="110"/>
        <v>0</v>
      </c>
      <c r="Y412" s="231">
        <f t="shared" si="111"/>
        <v>0</v>
      </c>
      <c r="Z412" s="232">
        <f t="shared" si="112"/>
        <v>0</v>
      </c>
      <c r="AA412" s="22">
        <f t="shared" si="113"/>
        <v>0</v>
      </c>
      <c r="AB412" s="424">
        <f t="shared" si="114"/>
        <v>0</v>
      </c>
      <c r="AC412" s="424">
        <f t="shared" si="115"/>
        <v>0</v>
      </c>
    </row>
    <row r="413" spans="1:29" s="149" customFormat="1" ht="14.25" customHeight="1" x14ac:dyDescent="0.25">
      <c r="A413" s="152"/>
      <c r="B413" s="143"/>
      <c r="C413" s="154"/>
      <c r="D413" s="143"/>
      <c r="E413" s="170"/>
      <c r="F413" s="158"/>
      <c r="G413" s="142"/>
      <c r="H413" s="157"/>
      <c r="I413" s="157"/>
      <c r="J413" s="157"/>
      <c r="K413" s="171"/>
      <c r="L413" s="171"/>
      <c r="M413" s="171"/>
      <c r="N413" s="171"/>
      <c r="O413" s="171"/>
      <c r="P413" s="171"/>
      <c r="Q413" s="171"/>
      <c r="R413" s="213"/>
      <c r="S413" s="213"/>
      <c r="T413" s="443"/>
      <c r="U413" s="445"/>
      <c r="V413" s="443"/>
      <c r="W413" s="214"/>
      <c r="X413" s="231">
        <f t="shared" si="110"/>
        <v>0</v>
      </c>
      <c r="Y413" s="231">
        <f t="shared" si="111"/>
        <v>0</v>
      </c>
      <c r="Z413" s="232">
        <f t="shared" si="112"/>
        <v>0</v>
      </c>
      <c r="AA413" s="22">
        <f t="shared" si="113"/>
        <v>0</v>
      </c>
      <c r="AB413" s="424">
        <f t="shared" si="114"/>
        <v>0</v>
      </c>
      <c r="AC413" s="424">
        <f t="shared" si="115"/>
        <v>0</v>
      </c>
    </row>
    <row r="414" spans="1:29" s="257" customFormat="1" ht="14.25" customHeight="1" x14ac:dyDescent="0.25">
      <c r="A414" s="224">
        <f>SUM(A411+1)</f>
        <v>105</v>
      </c>
      <c r="B414" s="225" t="s">
        <v>191</v>
      </c>
      <c r="C414" s="226">
        <v>384</v>
      </c>
      <c r="D414" s="225" t="s">
        <v>171</v>
      </c>
      <c r="E414" s="251">
        <v>23</v>
      </c>
      <c r="F414" s="245">
        <f>SUM(F415:F419)</f>
        <v>2075.08</v>
      </c>
      <c r="G414" s="258">
        <v>1986</v>
      </c>
      <c r="H414" s="237">
        <f>SUM(Лист1!G120)</f>
        <v>4276290.4400000004</v>
      </c>
      <c r="I414" s="237">
        <f>SUM(Лист1!H120)</f>
        <v>1881879.68</v>
      </c>
      <c r="J414" s="237">
        <f>SUM(Лист1!I120)</f>
        <v>2321.4299999999998</v>
      </c>
      <c r="K414" s="261"/>
      <c r="L414" s="261"/>
      <c r="M414" s="261"/>
      <c r="N414" s="252">
        <v>17584.22</v>
      </c>
      <c r="O414" s="252">
        <v>16480.810000000001</v>
      </c>
      <c r="P414" s="259">
        <v>19.54</v>
      </c>
      <c r="Q414" s="261"/>
      <c r="R414" s="231">
        <f t="shared" ref="R414" si="124">SUM(H414+N414)</f>
        <v>4293874.66</v>
      </c>
      <c r="S414" s="231">
        <f>SUM(I414+O414-J414)</f>
        <v>1896039.06</v>
      </c>
      <c r="T414" s="443">
        <f>S414-3*U414</f>
        <v>1889016.1500000001</v>
      </c>
      <c r="U414" s="445">
        <f t="shared" si="121"/>
        <v>2340.9699999999998</v>
      </c>
      <c r="V414" s="443">
        <f t="shared" si="122"/>
        <v>2404858.5099999998</v>
      </c>
      <c r="W414" s="231">
        <f t="shared" si="64"/>
        <v>2397835.6</v>
      </c>
      <c r="X414" s="231">
        <f t="shared" si="110"/>
        <v>1893698.09</v>
      </c>
      <c r="Y414" s="231">
        <f t="shared" si="111"/>
        <v>2340.9699999999998</v>
      </c>
      <c r="Z414" s="232">
        <f t="shared" si="112"/>
        <v>2400176.5700000003</v>
      </c>
      <c r="AA414" s="22">
        <f t="shared" si="113"/>
        <v>0</v>
      </c>
      <c r="AB414" s="424">
        <f t="shared" si="114"/>
        <v>-2.7739588404074311E-11</v>
      </c>
      <c r="AC414" s="424">
        <f t="shared" si="115"/>
        <v>0</v>
      </c>
    </row>
    <row r="415" spans="1:29" s="149" customFormat="1" ht="14.25" customHeight="1" x14ac:dyDescent="0.25">
      <c r="A415" s="163"/>
      <c r="B415" s="167"/>
      <c r="C415" s="146"/>
      <c r="D415" s="357" t="s">
        <v>518</v>
      </c>
      <c r="E415" s="147"/>
      <c r="F415" s="205"/>
      <c r="G415" s="144"/>
      <c r="H415" s="148"/>
      <c r="I415" s="148"/>
      <c r="J415" s="148"/>
      <c r="N415" s="139"/>
      <c r="O415" s="139"/>
      <c r="P415" s="140"/>
      <c r="R415" s="211"/>
      <c r="S415" s="211"/>
      <c r="T415" s="443"/>
      <c r="U415" s="445"/>
      <c r="V415" s="443"/>
      <c r="W415" s="211"/>
      <c r="X415" s="231">
        <f t="shared" si="110"/>
        <v>0</v>
      </c>
      <c r="Y415" s="231">
        <f t="shared" si="111"/>
        <v>0</v>
      </c>
      <c r="Z415" s="232">
        <f t="shared" si="112"/>
        <v>0</v>
      </c>
      <c r="AA415" s="22">
        <f t="shared" si="113"/>
        <v>0</v>
      </c>
      <c r="AB415" s="424">
        <f t="shared" si="114"/>
        <v>0</v>
      </c>
      <c r="AC415" s="424">
        <f t="shared" si="115"/>
        <v>0</v>
      </c>
    </row>
    <row r="416" spans="1:29" s="149" customFormat="1" ht="14.25" customHeight="1" x14ac:dyDescent="0.25">
      <c r="A416" s="163"/>
      <c r="B416" s="167"/>
      <c r="C416" s="146"/>
      <c r="D416" s="358" t="s">
        <v>521</v>
      </c>
      <c r="E416" s="147"/>
      <c r="F416" s="205">
        <v>50.58</v>
      </c>
      <c r="G416" s="144"/>
      <c r="H416" s="148"/>
      <c r="I416" s="148"/>
      <c r="J416" s="148"/>
      <c r="N416" s="139"/>
      <c r="O416" s="139"/>
      <c r="P416" s="140"/>
      <c r="R416" s="211">
        <f>$R$414/$F$414*F416</f>
        <v>104663.03964319447</v>
      </c>
      <c r="S416" s="211">
        <f>1896039.06/2075.08*F416</f>
        <v>46215.883558609785</v>
      </c>
      <c r="T416" s="443">
        <f>$T$414/$F$414*F416</f>
        <v>46044.700381190123</v>
      </c>
      <c r="U416" s="445">
        <f t="shared" si="121"/>
        <v>0</v>
      </c>
      <c r="V416" s="443">
        <f t="shared" si="122"/>
        <v>58618.339262004345</v>
      </c>
      <c r="W416" s="211">
        <f>SUM(R416-S416)</f>
        <v>58447.156084584683</v>
      </c>
      <c r="X416" s="231">
        <f t="shared" si="110"/>
        <v>46215.883558609785</v>
      </c>
      <c r="Y416" s="231">
        <f t="shared" si="111"/>
        <v>0</v>
      </c>
      <c r="Z416" s="232">
        <f t="shared" si="112"/>
        <v>58447.156084584683</v>
      </c>
      <c r="AA416" s="22">
        <f t="shared" si="113"/>
        <v>0</v>
      </c>
      <c r="AB416" s="424">
        <f t="shared" si="114"/>
        <v>0</v>
      </c>
      <c r="AC416" s="424">
        <f t="shared" si="115"/>
        <v>0</v>
      </c>
    </row>
    <row r="417" spans="1:29" s="149" customFormat="1" ht="14.25" customHeight="1" x14ac:dyDescent="0.25">
      <c r="A417" s="163"/>
      <c r="B417" s="167"/>
      <c r="C417" s="146"/>
      <c r="D417" s="358" t="s">
        <v>568</v>
      </c>
      <c r="E417" s="147"/>
      <c r="F417" s="205">
        <v>49</v>
      </c>
      <c r="G417" s="144"/>
      <c r="H417" s="148"/>
      <c r="I417" s="148"/>
      <c r="J417" s="148"/>
      <c r="N417" s="139"/>
      <c r="O417" s="139"/>
      <c r="P417" s="140"/>
      <c r="R417" s="211">
        <f t="shared" ref="R417:R419" si="125">$R$414/$F$414*F417</f>
        <v>101393.61294022399</v>
      </c>
      <c r="S417" s="211">
        <f t="shared" ref="S417:S419" si="126">1896039.06/2075.08*F417</f>
        <v>44772.208271488329</v>
      </c>
      <c r="T417" s="443">
        <f t="shared" ref="T417:T419" si="127">$T$414/$F$414*F417</f>
        <v>44606.372453110242</v>
      </c>
      <c r="U417" s="445">
        <f t="shared" si="121"/>
        <v>0</v>
      </c>
      <c r="V417" s="443">
        <f t="shared" si="122"/>
        <v>56787.240487113748</v>
      </c>
      <c r="W417" s="211">
        <f t="shared" ref="W417:W419" si="128">SUM(R417-S417)</f>
        <v>56621.40466873566</v>
      </c>
      <c r="X417" s="231">
        <f t="shared" si="110"/>
        <v>44772.208271488329</v>
      </c>
      <c r="Y417" s="231">
        <f t="shared" si="111"/>
        <v>0</v>
      </c>
      <c r="Z417" s="232">
        <f t="shared" si="112"/>
        <v>56621.40466873566</v>
      </c>
      <c r="AA417" s="22">
        <f t="shared" si="113"/>
        <v>0</v>
      </c>
      <c r="AB417" s="424">
        <f t="shared" si="114"/>
        <v>0</v>
      </c>
      <c r="AC417" s="424">
        <f t="shared" si="115"/>
        <v>0</v>
      </c>
    </row>
    <row r="418" spans="1:29" s="149" customFormat="1" ht="14.25" customHeight="1" x14ac:dyDescent="0.25">
      <c r="A418" s="163"/>
      <c r="B418" s="167"/>
      <c r="C418" s="146"/>
      <c r="D418" s="161" t="s">
        <v>497</v>
      </c>
      <c r="E418" s="147"/>
      <c r="F418" s="205">
        <v>71.5</v>
      </c>
      <c r="G418" s="144"/>
      <c r="H418" s="148"/>
      <c r="I418" s="148"/>
      <c r="J418" s="148"/>
      <c r="N418" s="139"/>
      <c r="O418" s="139"/>
      <c r="P418" s="140"/>
      <c r="R418" s="211">
        <f t="shared" si="125"/>
        <v>147951.90459644928</v>
      </c>
      <c r="S418" s="211">
        <f t="shared" si="126"/>
        <v>65330.875334926845</v>
      </c>
      <c r="T418" s="443">
        <f t="shared" si="127"/>
        <v>65088.890416273112</v>
      </c>
      <c r="U418" s="445">
        <f t="shared" si="121"/>
        <v>0</v>
      </c>
      <c r="V418" s="443">
        <f t="shared" si="122"/>
        <v>82863.014180176164</v>
      </c>
      <c r="W418" s="211">
        <f t="shared" si="128"/>
        <v>82621.029261522432</v>
      </c>
      <c r="X418" s="231">
        <f t="shared" si="110"/>
        <v>65330.875334926845</v>
      </c>
      <c r="Y418" s="231">
        <f t="shared" si="111"/>
        <v>0</v>
      </c>
      <c r="Z418" s="232">
        <f t="shared" si="112"/>
        <v>82621.029261522432</v>
      </c>
      <c r="AA418" s="22">
        <f t="shared" si="113"/>
        <v>0</v>
      </c>
      <c r="AB418" s="424">
        <f t="shared" si="114"/>
        <v>0</v>
      </c>
      <c r="AC418" s="424">
        <f t="shared" si="115"/>
        <v>0</v>
      </c>
    </row>
    <row r="419" spans="1:29" s="149" customFormat="1" ht="14.25" customHeight="1" x14ac:dyDescent="0.25">
      <c r="A419" s="163"/>
      <c r="B419" s="167"/>
      <c r="C419" s="146"/>
      <c r="D419" s="161" t="s">
        <v>470</v>
      </c>
      <c r="E419" s="147"/>
      <c r="F419" s="205">
        <v>1904</v>
      </c>
      <c r="G419" s="144"/>
      <c r="H419" s="148"/>
      <c r="I419" s="148"/>
      <c r="J419" s="148"/>
      <c r="N419" s="139"/>
      <c r="O419" s="139"/>
      <c r="P419" s="140"/>
      <c r="R419" s="211">
        <f t="shared" si="125"/>
        <v>3939866.1028201319</v>
      </c>
      <c r="S419" s="211">
        <f t="shared" si="126"/>
        <v>1739720.0928349751</v>
      </c>
      <c r="T419" s="443">
        <f t="shared" si="127"/>
        <v>1733276.1867494266</v>
      </c>
      <c r="U419" s="445">
        <f t="shared" si="121"/>
        <v>0</v>
      </c>
      <c r="V419" s="443">
        <f t="shared" si="122"/>
        <v>2206589.9160707053</v>
      </c>
      <c r="W419" s="211">
        <f t="shared" si="128"/>
        <v>2200146.0099851568</v>
      </c>
      <c r="X419" s="231">
        <f t="shared" si="110"/>
        <v>1739720.0928349751</v>
      </c>
      <c r="Y419" s="231">
        <f t="shared" si="111"/>
        <v>0</v>
      </c>
      <c r="Z419" s="232">
        <f t="shared" si="112"/>
        <v>2200146.0099851568</v>
      </c>
      <c r="AA419" s="22">
        <f t="shared" si="113"/>
        <v>0</v>
      </c>
      <c r="AB419" s="424">
        <f t="shared" si="114"/>
        <v>0</v>
      </c>
      <c r="AC419" s="424">
        <f t="shared" si="115"/>
        <v>0</v>
      </c>
    </row>
    <row r="420" spans="1:29" s="149" customFormat="1" ht="14.25" customHeight="1" x14ac:dyDescent="0.25">
      <c r="A420" s="152"/>
      <c r="B420" s="143"/>
      <c r="C420" s="154"/>
      <c r="D420" s="143"/>
      <c r="E420" s="155"/>
      <c r="F420" s="206"/>
      <c r="G420" s="156"/>
      <c r="H420" s="157"/>
      <c r="I420" s="157"/>
      <c r="J420" s="157"/>
      <c r="K420" s="171"/>
      <c r="L420" s="171"/>
      <c r="M420" s="171"/>
      <c r="N420" s="158"/>
      <c r="O420" s="158"/>
      <c r="P420" s="159"/>
      <c r="Q420" s="171"/>
      <c r="R420" s="213"/>
      <c r="S420" s="213"/>
      <c r="T420" s="443"/>
      <c r="U420" s="445"/>
      <c r="V420" s="443"/>
      <c r="W420" s="213"/>
      <c r="X420" s="231">
        <f t="shared" si="110"/>
        <v>0</v>
      </c>
      <c r="Y420" s="231">
        <f t="shared" si="111"/>
        <v>0</v>
      </c>
      <c r="Z420" s="232">
        <f t="shared" si="112"/>
        <v>0</v>
      </c>
      <c r="AA420" s="22">
        <f t="shared" si="113"/>
        <v>0</v>
      </c>
      <c r="AB420" s="424">
        <f t="shared" si="114"/>
        <v>0</v>
      </c>
      <c r="AC420" s="424">
        <f t="shared" si="115"/>
        <v>0</v>
      </c>
    </row>
    <row r="421" spans="1:29" s="257" customFormat="1" ht="14.25" customHeight="1" x14ac:dyDescent="0.25">
      <c r="A421" s="224">
        <f>SUM(A414+1)</f>
        <v>106</v>
      </c>
      <c r="B421" s="225" t="s">
        <v>192</v>
      </c>
      <c r="C421" s="226">
        <v>386</v>
      </c>
      <c r="D421" s="225" t="s">
        <v>189</v>
      </c>
      <c r="E421" s="454">
        <v>12</v>
      </c>
      <c r="F421" s="245">
        <v>212.7</v>
      </c>
      <c r="G421" s="248">
        <v>1985</v>
      </c>
      <c r="H421" s="237">
        <f>SUM(Лист1!G121)</f>
        <v>326829.07</v>
      </c>
      <c r="I421" s="237">
        <f>SUM(Лист1!H121)</f>
        <v>139566.35</v>
      </c>
      <c r="J421" s="237">
        <f>SUM(Лист1!I121)</f>
        <v>174.9</v>
      </c>
      <c r="K421" s="261"/>
      <c r="L421" s="261"/>
      <c r="M421" s="261"/>
      <c r="N421" s="261"/>
      <c r="O421" s="261"/>
      <c r="P421" s="261"/>
      <c r="Q421" s="261"/>
      <c r="R421" s="231">
        <f t="shared" si="73"/>
        <v>326829.07</v>
      </c>
      <c r="S421" s="231">
        <f>SUM(I421+O421-J421)</f>
        <v>139391.45000000001</v>
      </c>
      <c r="T421" s="443">
        <f>S421-3*U421</f>
        <v>138866.75</v>
      </c>
      <c r="U421" s="445">
        <f t="shared" si="121"/>
        <v>174.9</v>
      </c>
      <c r="V421" s="443">
        <f t="shared" si="122"/>
        <v>187962.32</v>
      </c>
      <c r="W421" s="238">
        <f t="shared" si="64"/>
        <v>187437.62</v>
      </c>
      <c r="X421" s="231">
        <f t="shared" si="110"/>
        <v>139216.55000000002</v>
      </c>
      <c r="Y421" s="231">
        <f t="shared" si="111"/>
        <v>174.9</v>
      </c>
      <c r="Z421" s="232">
        <f t="shared" si="112"/>
        <v>187612.52</v>
      </c>
      <c r="AA421" s="22">
        <f t="shared" si="113"/>
        <v>0</v>
      </c>
      <c r="AB421" s="424">
        <f t="shared" si="114"/>
        <v>-5.8264504332328215E-12</v>
      </c>
      <c r="AC421" s="424">
        <f t="shared" si="115"/>
        <v>0</v>
      </c>
    </row>
    <row r="422" spans="1:29" s="149" customFormat="1" ht="14.25" customHeight="1" x14ac:dyDescent="0.25">
      <c r="A422" s="163"/>
      <c r="B422" s="167"/>
      <c r="C422" s="146"/>
      <c r="D422" s="161" t="s">
        <v>470</v>
      </c>
      <c r="E422" s="147"/>
      <c r="F422" s="205">
        <v>212.7</v>
      </c>
      <c r="G422" s="249"/>
      <c r="H422" s="148"/>
      <c r="I422" s="148"/>
      <c r="J422" s="148"/>
      <c r="R422" s="211"/>
      <c r="S422" s="211"/>
      <c r="T422" s="443"/>
      <c r="U422" s="445"/>
      <c r="V422" s="443"/>
      <c r="W422" s="212"/>
      <c r="X422" s="231">
        <f t="shared" si="110"/>
        <v>0</v>
      </c>
      <c r="Y422" s="231">
        <f t="shared" si="111"/>
        <v>0</v>
      </c>
      <c r="Z422" s="232">
        <f t="shared" si="112"/>
        <v>0</v>
      </c>
      <c r="AA422" s="22">
        <f t="shared" si="113"/>
        <v>0</v>
      </c>
      <c r="AB422" s="424">
        <f t="shared" si="114"/>
        <v>0</v>
      </c>
      <c r="AC422" s="424">
        <f t="shared" si="115"/>
        <v>0</v>
      </c>
    </row>
    <row r="423" spans="1:29" s="149" customFormat="1" ht="14.25" customHeight="1" x14ac:dyDescent="0.25">
      <c r="A423" s="152"/>
      <c r="B423" s="143"/>
      <c r="C423" s="154"/>
      <c r="D423" s="143"/>
      <c r="E423" s="155"/>
      <c r="F423" s="206"/>
      <c r="G423" s="142"/>
      <c r="H423" s="157"/>
      <c r="I423" s="157"/>
      <c r="J423" s="157"/>
      <c r="K423" s="171"/>
      <c r="L423" s="171"/>
      <c r="M423" s="171"/>
      <c r="N423" s="171"/>
      <c r="O423" s="171"/>
      <c r="P423" s="171"/>
      <c r="Q423" s="171"/>
      <c r="R423" s="213"/>
      <c r="S423" s="213"/>
      <c r="T423" s="443"/>
      <c r="U423" s="445"/>
      <c r="V423" s="443"/>
      <c r="W423" s="214"/>
      <c r="X423" s="231">
        <f t="shared" si="110"/>
        <v>0</v>
      </c>
      <c r="Y423" s="231">
        <f t="shared" si="111"/>
        <v>0</v>
      </c>
      <c r="Z423" s="232">
        <f t="shared" si="112"/>
        <v>0</v>
      </c>
      <c r="AA423" s="22">
        <f t="shared" si="113"/>
        <v>0</v>
      </c>
      <c r="AB423" s="424">
        <f t="shared" si="114"/>
        <v>0</v>
      </c>
      <c r="AC423" s="424">
        <f t="shared" si="115"/>
        <v>0</v>
      </c>
    </row>
    <row r="424" spans="1:29" s="257" customFormat="1" ht="14.25" customHeight="1" x14ac:dyDescent="0.25">
      <c r="A424" s="224">
        <f>SUM(A421+1)</f>
        <v>107</v>
      </c>
      <c r="B424" s="225" t="s">
        <v>193</v>
      </c>
      <c r="C424" s="226">
        <v>388</v>
      </c>
      <c r="D424" s="225" t="s">
        <v>171</v>
      </c>
      <c r="E424" s="251">
        <v>39</v>
      </c>
      <c r="F424" s="245">
        <f>SUM(F425:F430)</f>
        <v>1253.48</v>
      </c>
      <c r="G424" s="258">
        <v>1983</v>
      </c>
      <c r="H424" s="237">
        <f>SUM(Лист1!G122)</f>
        <v>546112.88</v>
      </c>
      <c r="I424" s="237">
        <f>SUM(Лист1!H122)</f>
        <v>219539.94</v>
      </c>
      <c r="J424" s="237">
        <f>SUM(Лист1!I122)</f>
        <v>312.26</v>
      </c>
      <c r="K424" s="261"/>
      <c r="L424" s="261"/>
      <c r="M424" s="261"/>
      <c r="N424" s="252">
        <v>1634.98</v>
      </c>
      <c r="O424" s="252">
        <v>1386.01</v>
      </c>
      <c r="P424" s="259">
        <v>1.89</v>
      </c>
      <c r="Q424" s="261"/>
      <c r="R424" s="231">
        <f t="shared" ref="R424" si="129">SUM(H424+N424)</f>
        <v>547747.86</v>
      </c>
      <c r="S424" s="231">
        <f>SUM(I424+O424-J424)</f>
        <v>220613.69</v>
      </c>
      <c r="T424" s="443">
        <f>S424-3*U424</f>
        <v>219671.24</v>
      </c>
      <c r="U424" s="445">
        <f t="shared" si="121"/>
        <v>314.14999999999998</v>
      </c>
      <c r="V424" s="443">
        <f t="shared" si="122"/>
        <v>328076.62</v>
      </c>
      <c r="W424" s="238">
        <f t="shared" si="64"/>
        <v>327134.17</v>
      </c>
      <c r="X424" s="231">
        <f t="shared" si="110"/>
        <v>220299.54</v>
      </c>
      <c r="Y424" s="231">
        <f t="shared" si="111"/>
        <v>314.14999999999998</v>
      </c>
      <c r="Z424" s="232">
        <f t="shared" si="112"/>
        <v>327448.32000000001</v>
      </c>
      <c r="AA424" s="22">
        <f t="shared" si="113"/>
        <v>0</v>
      </c>
      <c r="AB424" s="424">
        <f t="shared" si="114"/>
        <v>-5.7980287238024175E-12</v>
      </c>
      <c r="AC424" s="424">
        <f t="shared" si="115"/>
        <v>-5.8207660913467407E-11</v>
      </c>
    </row>
    <row r="425" spans="1:29" s="269" customFormat="1" ht="14.25" customHeight="1" x14ac:dyDescent="0.25">
      <c r="A425" s="272"/>
      <c r="B425" s="276"/>
      <c r="C425" s="266"/>
      <c r="D425" s="353" t="s">
        <v>518</v>
      </c>
      <c r="E425" s="267"/>
      <c r="F425" s="277"/>
      <c r="G425" s="265"/>
      <c r="H425" s="151"/>
      <c r="I425" s="151"/>
      <c r="J425" s="151"/>
      <c r="N425" s="268"/>
      <c r="O425" s="268"/>
      <c r="P425" s="315"/>
      <c r="R425" s="274"/>
      <c r="S425" s="274"/>
      <c r="T425" s="443"/>
      <c r="U425" s="445"/>
      <c r="V425" s="443"/>
      <c r="W425" s="295"/>
      <c r="X425" s="231">
        <f t="shared" si="110"/>
        <v>0</v>
      </c>
      <c r="Y425" s="231">
        <f t="shared" si="111"/>
        <v>0</v>
      </c>
      <c r="Z425" s="232">
        <f t="shared" si="112"/>
        <v>0</v>
      </c>
      <c r="AA425" s="22">
        <f t="shared" si="113"/>
        <v>0</v>
      </c>
      <c r="AB425" s="424">
        <f t="shared" si="114"/>
        <v>0</v>
      </c>
      <c r="AC425" s="424">
        <f t="shared" si="115"/>
        <v>0</v>
      </c>
    </row>
    <row r="426" spans="1:29" s="269" customFormat="1" ht="14.25" customHeight="1" x14ac:dyDescent="0.25">
      <c r="A426" s="272"/>
      <c r="B426" s="276"/>
      <c r="C426" s="266"/>
      <c r="D426" s="354" t="s">
        <v>569</v>
      </c>
      <c r="E426" s="267"/>
      <c r="F426" s="277">
        <v>67.260000000000005</v>
      </c>
      <c r="G426" s="265"/>
      <c r="H426" s="151"/>
      <c r="I426" s="151"/>
      <c r="J426" s="151"/>
      <c r="N426" s="268"/>
      <c r="O426" s="268"/>
      <c r="P426" s="315"/>
      <c r="R426" s="274">
        <f>$R$424/$F$424*F426</f>
        <v>29391.391217729841</v>
      </c>
      <c r="S426" s="274">
        <f>220613.69/1253.48*F426</f>
        <v>11837.824926923446</v>
      </c>
      <c r="T426" s="443">
        <f>$T$424/$F$424*F426</f>
        <v>11787.254365765708</v>
      </c>
      <c r="U426" s="445"/>
      <c r="V426" s="443">
        <f t="shared" si="122"/>
        <v>17604.136851964133</v>
      </c>
      <c r="W426" s="295">
        <f>SUM(R426-S426)</f>
        <v>17553.566290806397</v>
      </c>
      <c r="X426" s="231">
        <f t="shared" si="110"/>
        <v>11837.824926923446</v>
      </c>
      <c r="Y426" s="231">
        <f t="shared" si="111"/>
        <v>0</v>
      </c>
      <c r="Z426" s="232">
        <f t="shared" si="112"/>
        <v>17553.566290806397</v>
      </c>
      <c r="AA426" s="22">
        <f t="shared" si="113"/>
        <v>0</v>
      </c>
      <c r="AB426" s="424">
        <f t="shared" si="114"/>
        <v>0</v>
      </c>
      <c r="AC426" s="424">
        <f t="shared" si="115"/>
        <v>0</v>
      </c>
    </row>
    <row r="427" spans="1:29" s="269" customFormat="1" ht="14.25" customHeight="1" x14ac:dyDescent="0.25">
      <c r="A427" s="272"/>
      <c r="B427" s="276"/>
      <c r="C427" s="266"/>
      <c r="D427" s="354" t="s">
        <v>570</v>
      </c>
      <c r="E427" s="267"/>
      <c r="F427" s="277">
        <v>37.1</v>
      </c>
      <c r="G427" s="265"/>
      <c r="H427" s="151"/>
      <c r="I427" s="151"/>
      <c r="J427" s="151"/>
      <c r="N427" s="268"/>
      <c r="O427" s="268"/>
      <c r="P427" s="315"/>
      <c r="R427" s="274">
        <f t="shared" ref="R427:R430" si="130">$R$424/$F$424*F427</f>
        <v>16212.022214953569</v>
      </c>
      <c r="S427" s="274">
        <f t="shared" ref="S427:S430" si="131">220613.69/1253.48*F427</f>
        <v>6529.6358130963399</v>
      </c>
      <c r="T427" s="443">
        <f t="shared" ref="T427:T430" si="132">$T$424/$F$424*F427</f>
        <v>6501.7415547116825</v>
      </c>
      <c r="U427" s="445"/>
      <c r="V427" s="443">
        <f t="shared" si="122"/>
        <v>9710.2806602418859</v>
      </c>
      <c r="W427" s="295">
        <f t="shared" ref="W427:W430" si="133">SUM(R427-S427)</f>
        <v>9682.3864018572294</v>
      </c>
      <c r="X427" s="231">
        <f t="shared" si="110"/>
        <v>6529.6358130963399</v>
      </c>
      <c r="Y427" s="231">
        <f t="shared" si="111"/>
        <v>0</v>
      </c>
      <c r="Z427" s="232">
        <f t="shared" si="112"/>
        <v>9682.3864018572294</v>
      </c>
      <c r="AA427" s="22">
        <f t="shared" si="113"/>
        <v>0</v>
      </c>
      <c r="AB427" s="424">
        <f t="shared" si="114"/>
        <v>0</v>
      </c>
      <c r="AC427" s="424">
        <f t="shared" si="115"/>
        <v>0</v>
      </c>
    </row>
    <row r="428" spans="1:29" s="269" customFormat="1" ht="14.25" customHeight="1" x14ac:dyDescent="0.25">
      <c r="A428" s="272"/>
      <c r="B428" s="276"/>
      <c r="C428" s="266"/>
      <c r="D428" s="354" t="s">
        <v>571</v>
      </c>
      <c r="E428" s="267"/>
      <c r="F428" s="277">
        <v>31.62</v>
      </c>
      <c r="G428" s="265"/>
      <c r="H428" s="151"/>
      <c r="I428" s="151"/>
      <c r="J428" s="151"/>
      <c r="N428" s="268"/>
      <c r="O428" s="268"/>
      <c r="P428" s="315"/>
      <c r="R428" s="274">
        <f t="shared" si="130"/>
        <v>13817.362329833742</v>
      </c>
      <c r="S428" s="274">
        <f t="shared" si="131"/>
        <v>5565.1505231834572</v>
      </c>
      <c r="T428" s="443">
        <f t="shared" si="132"/>
        <v>5541.3764948782591</v>
      </c>
      <c r="U428" s="445"/>
      <c r="V428" s="443">
        <f t="shared" si="122"/>
        <v>8275.9858349554834</v>
      </c>
      <c r="W428" s="295">
        <f t="shared" si="133"/>
        <v>8252.2118066502844</v>
      </c>
      <c r="X428" s="231">
        <f t="shared" si="110"/>
        <v>5565.1505231834572</v>
      </c>
      <c r="Y428" s="231">
        <f t="shared" si="111"/>
        <v>0</v>
      </c>
      <c r="Z428" s="232">
        <f t="shared" si="112"/>
        <v>8252.2118066502844</v>
      </c>
      <c r="AA428" s="22">
        <f t="shared" si="113"/>
        <v>0</v>
      </c>
      <c r="AB428" s="424">
        <f t="shared" si="114"/>
        <v>0</v>
      </c>
      <c r="AC428" s="424">
        <f t="shared" si="115"/>
        <v>0</v>
      </c>
    </row>
    <row r="429" spans="1:29" s="269" customFormat="1" ht="14.25" customHeight="1" x14ac:dyDescent="0.25">
      <c r="A429" s="272"/>
      <c r="B429" s="276"/>
      <c r="C429" s="266"/>
      <c r="D429" s="296" t="s">
        <v>498</v>
      </c>
      <c r="E429" s="267"/>
      <c r="F429" s="277">
        <v>107.2</v>
      </c>
      <c r="G429" s="265"/>
      <c r="H429" s="151"/>
      <c r="I429" s="151"/>
      <c r="J429" s="151"/>
      <c r="N429" s="268"/>
      <c r="O429" s="268"/>
      <c r="P429" s="315"/>
      <c r="R429" s="274">
        <f t="shared" si="130"/>
        <v>46844.441548329451</v>
      </c>
      <c r="S429" s="274">
        <f t="shared" si="131"/>
        <v>18867.303481507483</v>
      </c>
      <c r="T429" s="443">
        <f t="shared" si="132"/>
        <v>18786.703360245076</v>
      </c>
      <c r="U429" s="445"/>
      <c r="V429" s="443">
        <f t="shared" si="122"/>
        <v>28057.738188084375</v>
      </c>
      <c r="W429" s="295">
        <f t="shared" si="133"/>
        <v>27977.138066821968</v>
      </c>
      <c r="X429" s="231">
        <f t="shared" si="110"/>
        <v>18867.303481507483</v>
      </c>
      <c r="Y429" s="231">
        <f t="shared" si="111"/>
        <v>0</v>
      </c>
      <c r="Z429" s="232">
        <f t="shared" si="112"/>
        <v>27977.138066821968</v>
      </c>
      <c r="AA429" s="22">
        <f t="shared" si="113"/>
        <v>0</v>
      </c>
      <c r="AB429" s="424">
        <f t="shared" si="114"/>
        <v>0</v>
      </c>
      <c r="AC429" s="424">
        <f t="shared" si="115"/>
        <v>0</v>
      </c>
    </row>
    <row r="430" spans="1:29" s="269" customFormat="1" ht="14.25" customHeight="1" x14ac:dyDescent="0.25">
      <c r="A430" s="272"/>
      <c r="B430" s="276"/>
      <c r="C430" s="266"/>
      <c r="D430" s="296" t="s">
        <v>470</v>
      </c>
      <c r="E430" s="267"/>
      <c r="F430" s="277">
        <v>1010.3</v>
      </c>
      <c r="G430" s="265"/>
      <c r="H430" s="151"/>
      <c r="I430" s="151"/>
      <c r="J430" s="151"/>
      <c r="N430" s="268"/>
      <c r="O430" s="268"/>
      <c r="P430" s="315"/>
      <c r="R430" s="274">
        <f t="shared" si="130"/>
        <v>441482.64268915338</v>
      </c>
      <c r="S430" s="274">
        <f t="shared" si="131"/>
        <v>177813.77525528928</v>
      </c>
      <c r="T430" s="443">
        <f t="shared" si="132"/>
        <v>177054.16422439925</v>
      </c>
      <c r="U430" s="445"/>
      <c r="V430" s="443">
        <f t="shared" si="122"/>
        <v>264428.47846475412</v>
      </c>
      <c r="W430" s="295">
        <f t="shared" si="133"/>
        <v>263668.8674338641</v>
      </c>
      <c r="X430" s="231">
        <f t="shared" si="110"/>
        <v>177813.77525528928</v>
      </c>
      <c r="Y430" s="231">
        <f t="shared" si="111"/>
        <v>0</v>
      </c>
      <c r="Z430" s="232">
        <f t="shared" si="112"/>
        <v>263668.8674338641</v>
      </c>
      <c r="AA430" s="22">
        <f t="shared" si="113"/>
        <v>0</v>
      </c>
      <c r="AB430" s="424">
        <f t="shared" si="114"/>
        <v>0</v>
      </c>
      <c r="AC430" s="424">
        <f t="shared" si="115"/>
        <v>0</v>
      </c>
    </row>
    <row r="431" spans="1:29" s="269" customFormat="1" ht="14.25" customHeight="1" x14ac:dyDescent="0.25">
      <c r="A431" s="340"/>
      <c r="B431" s="293"/>
      <c r="C431" s="341"/>
      <c r="D431" s="359"/>
      <c r="E431" s="294"/>
      <c r="F431" s="355"/>
      <c r="G431" s="349"/>
      <c r="H431" s="344"/>
      <c r="I431" s="344"/>
      <c r="J431" s="344"/>
      <c r="K431" s="345"/>
      <c r="L431" s="345"/>
      <c r="M431" s="345"/>
      <c r="N431" s="342"/>
      <c r="O431" s="342"/>
      <c r="P431" s="350"/>
      <c r="Q431" s="345"/>
      <c r="R431" s="322"/>
      <c r="S431" s="322"/>
      <c r="T431" s="443"/>
      <c r="U431" s="445"/>
      <c r="V431" s="443"/>
      <c r="W431" s="347"/>
      <c r="X431" s="231">
        <f t="shared" si="110"/>
        <v>0</v>
      </c>
      <c r="Y431" s="231">
        <f t="shared" si="111"/>
        <v>0</v>
      </c>
      <c r="Z431" s="232">
        <f t="shared" si="112"/>
        <v>0</v>
      </c>
      <c r="AA431" s="22">
        <f t="shared" si="113"/>
        <v>0</v>
      </c>
      <c r="AB431" s="424">
        <f t="shared" si="114"/>
        <v>0</v>
      </c>
      <c r="AC431" s="424">
        <f t="shared" si="115"/>
        <v>0</v>
      </c>
    </row>
    <row r="432" spans="1:29" s="257" customFormat="1" ht="14.25" customHeight="1" x14ac:dyDescent="0.25">
      <c r="A432" s="224">
        <f>SUM(A424+1)</f>
        <v>108</v>
      </c>
      <c r="B432" s="225" t="s">
        <v>194</v>
      </c>
      <c r="C432" s="226">
        <v>389</v>
      </c>
      <c r="D432" s="225" t="s">
        <v>195</v>
      </c>
      <c r="E432" s="454">
        <v>26</v>
      </c>
      <c r="F432" s="252">
        <f>F434+F435+F436+F437</f>
        <v>170.60999999999999</v>
      </c>
      <c r="G432" s="248">
        <v>1989</v>
      </c>
      <c r="H432" s="237">
        <f>SUM(Лист1!G123)</f>
        <v>440478.24</v>
      </c>
      <c r="I432" s="237">
        <f>SUM(Лист1!H123)</f>
        <v>190443.94</v>
      </c>
      <c r="J432" s="237">
        <f>SUM(Лист1!I123)</f>
        <v>233.06</v>
      </c>
      <c r="K432" s="261"/>
      <c r="L432" s="261"/>
      <c r="M432" s="261"/>
      <c r="N432" s="252">
        <v>1489.46</v>
      </c>
      <c r="O432" s="252">
        <v>1363.71</v>
      </c>
      <c r="P432" s="259">
        <v>1.59</v>
      </c>
      <c r="Q432" s="261"/>
      <c r="R432" s="231">
        <f t="shared" ref="R432" si="134">SUM(H432+N432)</f>
        <v>441967.7</v>
      </c>
      <c r="S432" s="231">
        <f>SUM(I432+O432-J432)</f>
        <v>191574.59</v>
      </c>
      <c r="T432" s="443">
        <f>S432-3*U432</f>
        <v>190870.63999999998</v>
      </c>
      <c r="U432" s="445">
        <f t="shared" si="121"/>
        <v>234.65</v>
      </c>
      <c r="V432" s="443">
        <f t="shared" si="122"/>
        <v>251097.06000000003</v>
      </c>
      <c r="W432" s="238">
        <f t="shared" si="64"/>
        <v>250393.11000000002</v>
      </c>
      <c r="X432" s="231">
        <f t="shared" si="110"/>
        <v>191339.94</v>
      </c>
      <c r="Y432" s="231">
        <f t="shared" si="111"/>
        <v>234.65</v>
      </c>
      <c r="Z432" s="232">
        <f t="shared" si="112"/>
        <v>250627.76</v>
      </c>
      <c r="AA432" s="22">
        <f t="shared" si="113"/>
        <v>0</v>
      </c>
      <c r="AB432" s="424">
        <f t="shared" si="114"/>
        <v>-5.8264504332328215E-12</v>
      </c>
      <c r="AC432" s="424">
        <f t="shared" si="115"/>
        <v>0</v>
      </c>
    </row>
    <row r="433" spans="1:29" s="269" customFormat="1" ht="14.25" customHeight="1" x14ac:dyDescent="0.25">
      <c r="A433" s="272"/>
      <c r="B433" s="276"/>
      <c r="C433" s="266"/>
      <c r="D433" s="353" t="s">
        <v>518</v>
      </c>
      <c r="E433" s="457"/>
      <c r="F433" s="268"/>
      <c r="G433" s="278"/>
      <c r="H433" s="151"/>
      <c r="I433" s="151"/>
      <c r="J433" s="151"/>
      <c r="N433" s="268"/>
      <c r="O433" s="268"/>
      <c r="P433" s="315"/>
      <c r="R433" s="274"/>
      <c r="S433" s="274"/>
      <c r="T433" s="443"/>
      <c r="U433" s="445"/>
      <c r="V433" s="443"/>
      <c r="W433" s="295"/>
      <c r="X433" s="231">
        <f t="shared" si="110"/>
        <v>0</v>
      </c>
      <c r="Y433" s="231">
        <f t="shared" si="111"/>
        <v>0</v>
      </c>
      <c r="Z433" s="232">
        <f t="shared" si="112"/>
        <v>0</v>
      </c>
      <c r="AA433" s="22">
        <f t="shared" ref="AA433:AA496" si="135">SUM(U433-Y433)</f>
        <v>0</v>
      </c>
      <c r="AB433" s="424">
        <f t="shared" si="114"/>
        <v>0</v>
      </c>
      <c r="AC433" s="424">
        <f t="shared" si="115"/>
        <v>0</v>
      </c>
    </row>
    <row r="434" spans="1:29" s="269" customFormat="1" ht="14.25" customHeight="1" x14ac:dyDescent="0.25">
      <c r="A434" s="272"/>
      <c r="B434" s="276"/>
      <c r="C434" s="266"/>
      <c r="D434" s="354" t="s">
        <v>565</v>
      </c>
      <c r="E434" s="457"/>
      <c r="F434" s="268">
        <v>47.55</v>
      </c>
      <c r="G434" s="278"/>
      <c r="H434" s="151"/>
      <c r="I434" s="151"/>
      <c r="J434" s="151"/>
      <c r="N434" s="268"/>
      <c r="O434" s="268"/>
      <c r="P434" s="315"/>
      <c r="R434" s="274">
        <f>$R$432/$F$432*F434</f>
        <v>123178.97037102164</v>
      </c>
      <c r="S434" s="274">
        <f>191574.59/170.61*F434</f>
        <v>53392.953253033229</v>
      </c>
      <c r="T434" s="443">
        <f>$T$432/$F$432*F434</f>
        <v>53196.758290838749</v>
      </c>
      <c r="U434" s="445"/>
      <c r="V434" s="443">
        <f t="shared" si="122"/>
        <v>69982.212080182886</v>
      </c>
      <c r="W434" s="295">
        <f>SUM(R434-S434)</f>
        <v>69786.017117988406</v>
      </c>
      <c r="X434" s="231">
        <f t="shared" ref="X434:X497" si="136">SUM(S434-U434)</f>
        <v>53392.953253033229</v>
      </c>
      <c r="Y434" s="231">
        <f t="shared" ref="Y434:Y497" si="137">SUM(U434)</f>
        <v>0</v>
      </c>
      <c r="Z434" s="232">
        <f t="shared" ref="Z434:Z497" si="138">SUM(U434+W434)</f>
        <v>69786.017117988406</v>
      </c>
      <c r="AA434" s="22">
        <f t="shared" si="135"/>
        <v>0</v>
      </c>
      <c r="AB434" s="424">
        <f t="shared" ref="AB434:AB497" si="139">SUM(S434-X434-U434)</f>
        <v>0</v>
      </c>
      <c r="AC434" s="424">
        <f t="shared" ref="AC434:AC497" si="140">SUM(R434-X434-Z434)</f>
        <v>0</v>
      </c>
    </row>
    <row r="435" spans="1:29" s="269" customFormat="1" ht="14.25" customHeight="1" x14ac:dyDescent="0.25">
      <c r="A435" s="272"/>
      <c r="B435" s="276"/>
      <c r="C435" s="266"/>
      <c r="D435" s="354" t="s">
        <v>572</v>
      </c>
      <c r="E435" s="457"/>
      <c r="F435" s="268">
        <v>27.66</v>
      </c>
      <c r="G435" s="278"/>
      <c r="H435" s="151"/>
      <c r="I435" s="151"/>
      <c r="J435" s="151"/>
      <c r="N435" s="268"/>
      <c r="O435" s="268"/>
      <c r="P435" s="315"/>
      <c r="R435" s="274">
        <f t="shared" ref="R435:R437" si="141">$R$432/$F$432*F435</f>
        <v>71653.634499736247</v>
      </c>
      <c r="S435" s="274">
        <f t="shared" ref="S435:S437" si="142">191574.59/170.61*F435</f>
        <v>31058.866182521539</v>
      </c>
      <c r="T435" s="443">
        <f t="shared" ref="T435:T437" si="143">$T$432/$F$432*F435</f>
        <v>30944.738892210302</v>
      </c>
      <c r="U435" s="445"/>
      <c r="V435" s="443">
        <f t="shared" si="122"/>
        <v>40708.895607525948</v>
      </c>
      <c r="W435" s="295">
        <f t="shared" ref="W435:W437" si="144">SUM(R435-S435)</f>
        <v>40594.768317214708</v>
      </c>
      <c r="X435" s="231">
        <f t="shared" si="136"/>
        <v>31058.866182521539</v>
      </c>
      <c r="Y435" s="231">
        <f t="shared" si="137"/>
        <v>0</v>
      </c>
      <c r="Z435" s="232">
        <f t="shared" si="138"/>
        <v>40594.768317214708</v>
      </c>
      <c r="AA435" s="22">
        <f t="shared" si="135"/>
        <v>0</v>
      </c>
      <c r="AB435" s="424">
        <f t="shared" si="139"/>
        <v>0</v>
      </c>
      <c r="AC435" s="424">
        <f t="shared" si="140"/>
        <v>0</v>
      </c>
    </row>
    <row r="436" spans="1:29" s="269" customFormat="1" ht="14.25" customHeight="1" x14ac:dyDescent="0.25">
      <c r="A436" s="272"/>
      <c r="B436" s="276"/>
      <c r="C436" s="266"/>
      <c r="D436" s="354" t="s">
        <v>573</v>
      </c>
      <c r="E436" s="457"/>
      <c r="F436" s="268">
        <v>48.15</v>
      </c>
      <c r="G436" s="278"/>
      <c r="H436" s="151"/>
      <c r="I436" s="151"/>
      <c r="J436" s="151"/>
      <c r="N436" s="268"/>
      <c r="O436" s="268"/>
      <c r="P436" s="315"/>
      <c r="R436" s="274">
        <f t="shared" si="141"/>
        <v>124733.27914541939</v>
      </c>
      <c r="S436" s="274">
        <f t="shared" si="142"/>
        <v>54066.681369790749</v>
      </c>
      <c r="T436" s="443">
        <f t="shared" si="143"/>
        <v>53868.010761385616</v>
      </c>
      <c r="U436" s="445"/>
      <c r="V436" s="443">
        <f t="shared" si="122"/>
        <v>70865.268384033785</v>
      </c>
      <c r="W436" s="295">
        <f t="shared" si="144"/>
        <v>70666.597775628645</v>
      </c>
      <c r="X436" s="231">
        <f t="shared" si="136"/>
        <v>54066.681369790749</v>
      </c>
      <c r="Y436" s="231">
        <f t="shared" si="137"/>
        <v>0</v>
      </c>
      <c r="Z436" s="232">
        <f t="shared" si="138"/>
        <v>70666.597775628645</v>
      </c>
      <c r="AA436" s="22">
        <f t="shared" si="135"/>
        <v>0</v>
      </c>
      <c r="AB436" s="424">
        <f t="shared" si="139"/>
        <v>0</v>
      </c>
      <c r="AC436" s="424">
        <f t="shared" si="140"/>
        <v>0</v>
      </c>
    </row>
    <row r="437" spans="1:29" s="269" customFormat="1" ht="14.25" customHeight="1" x14ac:dyDescent="0.25">
      <c r="A437" s="272"/>
      <c r="B437" s="276"/>
      <c r="C437" s="266"/>
      <c r="D437" s="354" t="s">
        <v>574</v>
      </c>
      <c r="E437" s="457"/>
      <c r="F437" s="268">
        <v>47.25</v>
      </c>
      <c r="G437" s="278"/>
      <c r="H437" s="151"/>
      <c r="I437" s="151"/>
      <c r="J437" s="151"/>
      <c r="N437" s="268"/>
      <c r="O437" s="268"/>
      <c r="P437" s="315"/>
      <c r="R437" s="274">
        <f t="shared" si="141"/>
        <v>122401.81598382277</v>
      </c>
      <c r="S437" s="274">
        <f t="shared" si="142"/>
        <v>53056.089194654473</v>
      </c>
      <c r="T437" s="443">
        <f t="shared" si="143"/>
        <v>52861.132055565322</v>
      </c>
      <c r="U437" s="445"/>
      <c r="V437" s="443">
        <f t="shared" si="122"/>
        <v>69540.683928257451</v>
      </c>
      <c r="W437" s="295">
        <f t="shared" si="144"/>
        <v>69345.7267891683</v>
      </c>
      <c r="X437" s="231">
        <f t="shared" si="136"/>
        <v>53056.089194654473</v>
      </c>
      <c r="Y437" s="231">
        <f t="shared" si="137"/>
        <v>0</v>
      </c>
      <c r="Z437" s="232">
        <f t="shared" si="138"/>
        <v>69345.7267891683</v>
      </c>
      <c r="AA437" s="22">
        <f t="shared" si="135"/>
        <v>0</v>
      </c>
      <c r="AB437" s="424">
        <f t="shared" si="139"/>
        <v>0</v>
      </c>
      <c r="AC437" s="424">
        <f t="shared" si="140"/>
        <v>0</v>
      </c>
    </row>
    <row r="438" spans="1:29" s="269" customFormat="1" ht="14.25" customHeight="1" x14ac:dyDescent="0.25">
      <c r="A438" s="340"/>
      <c r="B438" s="293"/>
      <c r="C438" s="341"/>
      <c r="D438" s="293"/>
      <c r="E438" s="470"/>
      <c r="F438" s="342"/>
      <c r="G438" s="343"/>
      <c r="H438" s="344"/>
      <c r="I438" s="344"/>
      <c r="J438" s="344"/>
      <c r="K438" s="345"/>
      <c r="L438" s="345"/>
      <c r="M438" s="345"/>
      <c r="N438" s="342"/>
      <c r="O438" s="342"/>
      <c r="P438" s="350"/>
      <c r="Q438" s="345"/>
      <c r="R438" s="322"/>
      <c r="S438" s="322"/>
      <c r="T438" s="443"/>
      <c r="U438" s="445"/>
      <c r="V438" s="443"/>
      <c r="W438" s="347"/>
      <c r="X438" s="231">
        <f t="shared" si="136"/>
        <v>0</v>
      </c>
      <c r="Y438" s="231">
        <f t="shared" si="137"/>
        <v>0</v>
      </c>
      <c r="Z438" s="232">
        <f t="shared" si="138"/>
        <v>0</v>
      </c>
      <c r="AA438" s="22">
        <f t="shared" si="135"/>
        <v>0</v>
      </c>
      <c r="AB438" s="424">
        <f t="shared" si="139"/>
        <v>0</v>
      </c>
      <c r="AC438" s="424">
        <f t="shared" si="140"/>
        <v>0</v>
      </c>
    </row>
    <row r="439" spans="1:29" s="287" customFormat="1" ht="14.25" customHeight="1" x14ac:dyDescent="0.25">
      <c r="A439" s="313">
        <f>SUM(A432+1)</f>
        <v>109</v>
      </c>
      <c r="B439" s="307" t="s">
        <v>196</v>
      </c>
      <c r="C439" s="348">
        <v>391</v>
      </c>
      <c r="D439" s="307" t="s">
        <v>195</v>
      </c>
      <c r="E439" s="469">
        <v>28</v>
      </c>
      <c r="F439" s="308">
        <f>F441+F442+F443+F444+F445</f>
        <v>178.29</v>
      </c>
      <c r="G439" s="339">
        <v>1992</v>
      </c>
      <c r="H439" s="310">
        <f>SUM(Лист1!G124)</f>
        <v>423456.47</v>
      </c>
      <c r="I439" s="310">
        <f>SUM(Лист1!H124)</f>
        <v>193499.26</v>
      </c>
      <c r="J439" s="310">
        <f>SUM(Лист1!I124)</f>
        <v>226.78</v>
      </c>
      <c r="K439" s="311"/>
      <c r="L439" s="311"/>
      <c r="M439" s="311"/>
      <c r="N439" s="308">
        <v>3564.52</v>
      </c>
      <c r="O439" s="308">
        <v>3229.36</v>
      </c>
      <c r="P439" s="319">
        <v>3.65</v>
      </c>
      <c r="Q439" s="311"/>
      <c r="R439" s="314">
        <f t="shared" si="73"/>
        <v>427020.99</v>
      </c>
      <c r="S439" s="231">
        <f>SUM(I439+O439-J439)</f>
        <v>196501.84</v>
      </c>
      <c r="T439" s="443">
        <f>S439-3*U439</f>
        <v>195810.55</v>
      </c>
      <c r="U439" s="445">
        <f t="shared" si="121"/>
        <v>230.43</v>
      </c>
      <c r="V439" s="443">
        <f t="shared" si="122"/>
        <v>231210.44</v>
      </c>
      <c r="W439" s="312">
        <f t="shared" si="64"/>
        <v>230519.15</v>
      </c>
      <c r="X439" s="231">
        <f t="shared" si="136"/>
        <v>196271.41</v>
      </c>
      <c r="Y439" s="231">
        <f t="shared" si="137"/>
        <v>230.43</v>
      </c>
      <c r="Z439" s="232">
        <f t="shared" si="138"/>
        <v>230749.58</v>
      </c>
      <c r="AA439" s="22">
        <f t="shared" si="135"/>
        <v>0</v>
      </c>
      <c r="AB439" s="424">
        <f t="shared" si="139"/>
        <v>-6.9917405198793858E-12</v>
      </c>
      <c r="AC439" s="424">
        <f t="shared" si="140"/>
        <v>0</v>
      </c>
    </row>
    <row r="440" spans="1:29" s="149" customFormat="1" ht="14.25" customHeight="1" x14ac:dyDescent="0.25">
      <c r="A440" s="163"/>
      <c r="B440" s="167"/>
      <c r="C440" s="146"/>
      <c r="D440" s="357" t="s">
        <v>518</v>
      </c>
      <c r="E440" s="169"/>
      <c r="F440" s="139"/>
      <c r="G440" s="249"/>
      <c r="H440" s="148"/>
      <c r="I440" s="148"/>
      <c r="J440" s="148"/>
      <c r="N440" s="139"/>
      <c r="O440" s="139"/>
      <c r="P440" s="140"/>
      <c r="R440" s="211"/>
      <c r="S440" s="211"/>
      <c r="T440" s="443"/>
      <c r="U440" s="445"/>
      <c r="V440" s="443"/>
      <c r="W440" s="212"/>
      <c r="X440" s="231">
        <f t="shared" si="136"/>
        <v>0</v>
      </c>
      <c r="Y440" s="231">
        <f t="shared" si="137"/>
        <v>0</v>
      </c>
      <c r="Z440" s="232">
        <f t="shared" si="138"/>
        <v>0</v>
      </c>
      <c r="AA440" s="22">
        <f t="shared" si="135"/>
        <v>0</v>
      </c>
      <c r="AB440" s="424">
        <f t="shared" si="139"/>
        <v>0</v>
      </c>
      <c r="AC440" s="424">
        <f t="shared" si="140"/>
        <v>0</v>
      </c>
    </row>
    <row r="441" spans="1:29" s="149" customFormat="1" ht="14.25" customHeight="1" x14ac:dyDescent="0.25">
      <c r="A441" s="163"/>
      <c r="B441" s="167"/>
      <c r="C441" s="146"/>
      <c r="D441" s="358" t="s">
        <v>512</v>
      </c>
      <c r="E441" s="169"/>
      <c r="F441" s="139">
        <v>35.47</v>
      </c>
      <c r="G441" s="249"/>
      <c r="H441" s="148"/>
      <c r="I441" s="148"/>
      <c r="J441" s="148"/>
      <c r="N441" s="139"/>
      <c r="O441" s="139"/>
      <c r="P441" s="140"/>
      <c r="R441" s="211">
        <f>$R$439/$F$439*F441</f>
        <v>84953.920664647492</v>
      </c>
      <c r="S441" s="211">
        <f>196501.84/178.29*F441</f>
        <v>39093.164309832297</v>
      </c>
      <c r="T441" s="443">
        <f>$T$439/$F$439*F441</f>
        <v>38955.635248752034</v>
      </c>
      <c r="U441" s="445"/>
      <c r="V441" s="443">
        <f t="shared" si="122"/>
        <v>45998.285415895458</v>
      </c>
      <c r="W441" s="212">
        <f>SUM(R441-S441)</f>
        <v>45860.756354815196</v>
      </c>
      <c r="X441" s="231">
        <f t="shared" si="136"/>
        <v>39093.164309832297</v>
      </c>
      <c r="Y441" s="231">
        <f t="shared" si="137"/>
        <v>0</v>
      </c>
      <c r="Z441" s="232">
        <f t="shared" si="138"/>
        <v>45860.756354815196</v>
      </c>
      <c r="AA441" s="22">
        <f t="shared" si="135"/>
        <v>0</v>
      </c>
      <c r="AB441" s="424">
        <f t="shared" si="139"/>
        <v>0</v>
      </c>
      <c r="AC441" s="424">
        <f t="shared" si="140"/>
        <v>0</v>
      </c>
    </row>
    <row r="442" spans="1:29" s="149" customFormat="1" ht="14.25" customHeight="1" x14ac:dyDescent="0.25">
      <c r="A442" s="163"/>
      <c r="B442" s="167"/>
      <c r="C442" s="146"/>
      <c r="D442" s="358" t="s">
        <v>575</v>
      </c>
      <c r="E442" s="169"/>
      <c r="F442" s="139">
        <v>35.47</v>
      </c>
      <c r="G442" s="249"/>
      <c r="H442" s="148"/>
      <c r="I442" s="148"/>
      <c r="J442" s="148"/>
      <c r="N442" s="139"/>
      <c r="O442" s="139"/>
      <c r="P442" s="140"/>
      <c r="R442" s="211">
        <f t="shared" ref="R442:R445" si="145">$R$439/$F$439*F442</f>
        <v>84953.920664647492</v>
      </c>
      <c r="S442" s="211">
        <f t="shared" ref="S442:S445" si="146">196501.84/178.29*F442</f>
        <v>39093.164309832297</v>
      </c>
      <c r="T442" s="443">
        <f t="shared" ref="T442:T445" si="147">$T$439/$F$439*F442</f>
        <v>38955.635248752034</v>
      </c>
      <c r="U442" s="445"/>
      <c r="V442" s="443">
        <f t="shared" si="122"/>
        <v>45998.285415895458</v>
      </c>
      <c r="W442" s="212">
        <f t="shared" ref="W442:W445" si="148">SUM(R442-S442)</f>
        <v>45860.756354815196</v>
      </c>
      <c r="X442" s="231">
        <f t="shared" si="136"/>
        <v>39093.164309832297</v>
      </c>
      <c r="Y442" s="231">
        <f t="shared" si="137"/>
        <v>0</v>
      </c>
      <c r="Z442" s="232">
        <f t="shared" si="138"/>
        <v>45860.756354815196</v>
      </c>
      <c r="AA442" s="22">
        <f t="shared" si="135"/>
        <v>0</v>
      </c>
      <c r="AB442" s="424">
        <f t="shared" si="139"/>
        <v>0</v>
      </c>
      <c r="AC442" s="424">
        <f t="shared" si="140"/>
        <v>0</v>
      </c>
    </row>
    <row r="443" spans="1:29" s="149" customFormat="1" ht="14.25" customHeight="1" x14ac:dyDescent="0.25">
      <c r="A443" s="163"/>
      <c r="B443" s="167"/>
      <c r="C443" s="146"/>
      <c r="D443" s="358" t="s">
        <v>539</v>
      </c>
      <c r="E443" s="169"/>
      <c r="F443" s="139">
        <v>35.54</v>
      </c>
      <c r="G443" s="249"/>
      <c r="H443" s="148"/>
      <c r="I443" s="148"/>
      <c r="J443" s="148"/>
      <c r="N443" s="139"/>
      <c r="O443" s="139"/>
      <c r="P443" s="140"/>
      <c r="R443" s="211">
        <f t="shared" si="145"/>
        <v>85121.577119300026</v>
      </c>
      <c r="S443" s="211">
        <f t="shared" si="146"/>
        <v>39170.314620001125</v>
      </c>
      <c r="T443" s="443">
        <f t="shared" si="147"/>
        <v>39032.514145493296</v>
      </c>
      <c r="U443" s="445"/>
      <c r="V443" s="443">
        <f t="shared" si="122"/>
        <v>46089.062973806729</v>
      </c>
      <c r="W443" s="212">
        <f t="shared" si="148"/>
        <v>45951.2624992989</v>
      </c>
      <c r="X443" s="231">
        <f t="shared" si="136"/>
        <v>39170.314620001125</v>
      </c>
      <c r="Y443" s="231">
        <f t="shared" si="137"/>
        <v>0</v>
      </c>
      <c r="Z443" s="232">
        <f t="shared" si="138"/>
        <v>45951.2624992989</v>
      </c>
      <c r="AA443" s="22">
        <f t="shared" si="135"/>
        <v>0</v>
      </c>
      <c r="AB443" s="424">
        <f t="shared" si="139"/>
        <v>0</v>
      </c>
      <c r="AC443" s="424">
        <f t="shared" si="140"/>
        <v>0</v>
      </c>
    </row>
    <row r="444" spans="1:29" s="149" customFormat="1" ht="14.25" customHeight="1" x14ac:dyDescent="0.25">
      <c r="A444" s="163"/>
      <c r="B444" s="167"/>
      <c r="C444" s="146"/>
      <c r="D444" s="358" t="s">
        <v>576</v>
      </c>
      <c r="E444" s="169"/>
      <c r="F444" s="139">
        <v>35.74</v>
      </c>
      <c r="G444" s="249"/>
      <c r="H444" s="148"/>
      <c r="I444" s="148"/>
      <c r="J444" s="148"/>
      <c r="N444" s="139"/>
      <c r="O444" s="139"/>
      <c r="P444" s="140"/>
      <c r="R444" s="211">
        <f t="shared" si="145"/>
        <v>85600.595561164402</v>
      </c>
      <c r="S444" s="211">
        <f t="shared" si="146"/>
        <v>39390.744077626347</v>
      </c>
      <c r="T444" s="443">
        <f t="shared" si="147"/>
        <v>39252.168136182627</v>
      </c>
      <c r="U444" s="445"/>
      <c r="V444" s="443">
        <f t="shared" si="122"/>
        <v>46348.427424981775</v>
      </c>
      <c r="W444" s="212">
        <f t="shared" si="148"/>
        <v>46209.851483538056</v>
      </c>
      <c r="X444" s="231">
        <f t="shared" si="136"/>
        <v>39390.744077626347</v>
      </c>
      <c r="Y444" s="231">
        <f t="shared" si="137"/>
        <v>0</v>
      </c>
      <c r="Z444" s="232">
        <f t="shared" si="138"/>
        <v>46209.851483538056</v>
      </c>
      <c r="AA444" s="22">
        <f t="shared" si="135"/>
        <v>0</v>
      </c>
      <c r="AB444" s="424">
        <f t="shared" si="139"/>
        <v>0</v>
      </c>
      <c r="AC444" s="424">
        <f t="shared" si="140"/>
        <v>0</v>
      </c>
    </row>
    <row r="445" spans="1:29" s="149" customFormat="1" ht="14.25" customHeight="1" x14ac:dyDescent="0.25">
      <c r="A445" s="163"/>
      <c r="B445" s="167"/>
      <c r="C445" s="146"/>
      <c r="D445" s="358" t="s">
        <v>577</v>
      </c>
      <c r="E445" s="169"/>
      <c r="F445" s="139">
        <v>36.07</v>
      </c>
      <c r="G445" s="249"/>
      <c r="H445" s="148"/>
      <c r="I445" s="148"/>
      <c r="J445" s="148"/>
      <c r="N445" s="139"/>
      <c r="O445" s="139"/>
      <c r="P445" s="140"/>
      <c r="R445" s="211">
        <f t="shared" si="145"/>
        <v>86390.975990240622</v>
      </c>
      <c r="S445" s="211">
        <f t="shared" si="146"/>
        <v>39754.452682707953</v>
      </c>
      <c r="T445" s="443">
        <f t="shared" si="147"/>
        <v>39614.597220820011</v>
      </c>
      <c r="U445" s="445"/>
      <c r="V445" s="443">
        <f t="shared" si="122"/>
        <v>46776.378769420611</v>
      </c>
      <c r="W445" s="212">
        <f t="shared" si="148"/>
        <v>46636.523307532669</v>
      </c>
      <c r="X445" s="231">
        <f t="shared" si="136"/>
        <v>39754.452682707953</v>
      </c>
      <c r="Y445" s="231">
        <f t="shared" si="137"/>
        <v>0</v>
      </c>
      <c r="Z445" s="232">
        <f t="shared" si="138"/>
        <v>46636.523307532669</v>
      </c>
      <c r="AA445" s="22">
        <f t="shared" si="135"/>
        <v>0</v>
      </c>
      <c r="AB445" s="424">
        <f t="shared" si="139"/>
        <v>0</v>
      </c>
      <c r="AC445" s="424">
        <f t="shared" si="140"/>
        <v>0</v>
      </c>
    </row>
    <row r="446" spans="1:29" s="149" customFormat="1" ht="14.25" customHeight="1" x14ac:dyDescent="0.25">
      <c r="A446" s="152"/>
      <c r="B446" s="143"/>
      <c r="C446" s="154"/>
      <c r="D446" s="143"/>
      <c r="E446" s="170"/>
      <c r="F446" s="158"/>
      <c r="G446" s="142"/>
      <c r="H446" s="157"/>
      <c r="I446" s="157"/>
      <c r="J446" s="157"/>
      <c r="K446" s="171"/>
      <c r="L446" s="171"/>
      <c r="M446" s="171"/>
      <c r="N446" s="158"/>
      <c r="O446" s="158"/>
      <c r="P446" s="159"/>
      <c r="Q446" s="171"/>
      <c r="R446" s="213"/>
      <c r="S446" s="213"/>
      <c r="T446" s="443"/>
      <c r="U446" s="445"/>
      <c r="V446" s="443"/>
      <c r="W446" s="214"/>
      <c r="X446" s="231">
        <f t="shared" si="136"/>
        <v>0</v>
      </c>
      <c r="Y446" s="231">
        <f t="shared" si="137"/>
        <v>0</v>
      </c>
      <c r="Z446" s="232">
        <f t="shared" si="138"/>
        <v>0</v>
      </c>
      <c r="AA446" s="22">
        <f t="shared" si="135"/>
        <v>0</v>
      </c>
      <c r="AB446" s="424">
        <f t="shared" si="139"/>
        <v>0</v>
      </c>
      <c r="AC446" s="424">
        <f t="shared" si="140"/>
        <v>0</v>
      </c>
    </row>
    <row r="447" spans="1:29" s="257" customFormat="1" ht="14.25" customHeight="1" x14ac:dyDescent="0.25">
      <c r="A447" s="224">
        <f>SUM(A439+1)</f>
        <v>110</v>
      </c>
      <c r="B447" s="225" t="s">
        <v>197</v>
      </c>
      <c r="C447" s="226">
        <v>392</v>
      </c>
      <c r="D447" s="225" t="s">
        <v>195</v>
      </c>
      <c r="E447" s="454">
        <v>30</v>
      </c>
      <c r="F447" s="252">
        <f>F449+F450</f>
        <v>88.759999999999991</v>
      </c>
      <c r="G447" s="248">
        <v>1994</v>
      </c>
      <c r="H447" s="237">
        <f>SUM(Лист1!G125)</f>
        <v>136526.07</v>
      </c>
      <c r="I447" s="237">
        <f>SUM(Лист1!H125)</f>
        <v>59582.7</v>
      </c>
      <c r="J447" s="237">
        <f>SUM(Лист1!I125)</f>
        <v>71.349999999999994</v>
      </c>
      <c r="K447" s="261"/>
      <c r="L447" s="261"/>
      <c r="M447" s="261"/>
      <c r="N447" s="259">
        <v>989.65</v>
      </c>
      <c r="O447" s="259">
        <v>886.9</v>
      </c>
      <c r="P447" s="259">
        <v>0.99</v>
      </c>
      <c r="Q447" s="261"/>
      <c r="R447" s="231">
        <f t="shared" ref="R447" si="149">SUM(H447+N447)</f>
        <v>137515.72</v>
      </c>
      <c r="S447" s="231">
        <f>SUM(I447+O447-J447)</f>
        <v>60398.25</v>
      </c>
      <c r="T447" s="443">
        <f>S447-3*U447</f>
        <v>60181.23</v>
      </c>
      <c r="U447" s="445">
        <f t="shared" si="121"/>
        <v>72.339999999999989</v>
      </c>
      <c r="V447" s="443">
        <f t="shared" si="122"/>
        <v>77334.489999999991</v>
      </c>
      <c r="W447" s="238">
        <f t="shared" si="64"/>
        <v>77117.47</v>
      </c>
      <c r="X447" s="231">
        <f t="shared" si="136"/>
        <v>60325.91</v>
      </c>
      <c r="Y447" s="231">
        <f t="shared" si="137"/>
        <v>72.339999999999989</v>
      </c>
      <c r="Z447" s="232">
        <f t="shared" si="138"/>
        <v>77189.81</v>
      </c>
      <c r="AA447" s="22">
        <f t="shared" si="135"/>
        <v>0</v>
      </c>
      <c r="AB447" s="424">
        <f t="shared" si="139"/>
        <v>-3.4816594052244909E-12</v>
      </c>
      <c r="AC447" s="424">
        <f t="shared" si="140"/>
        <v>0</v>
      </c>
    </row>
    <row r="448" spans="1:29" s="269" customFormat="1" ht="14.25" customHeight="1" x14ac:dyDescent="0.25">
      <c r="A448" s="272"/>
      <c r="B448" s="276"/>
      <c r="C448" s="266"/>
      <c r="D448" s="353" t="s">
        <v>518</v>
      </c>
      <c r="E448" s="457"/>
      <c r="F448" s="268"/>
      <c r="G448" s="278"/>
      <c r="H448" s="151"/>
      <c r="I448" s="151"/>
      <c r="J448" s="151"/>
      <c r="N448" s="315"/>
      <c r="O448" s="315"/>
      <c r="P448" s="315"/>
      <c r="R448" s="274"/>
      <c r="S448" s="274"/>
      <c r="T448" s="443"/>
      <c r="U448" s="445"/>
      <c r="V448" s="443"/>
      <c r="W448" s="295"/>
      <c r="X448" s="231">
        <f t="shared" si="136"/>
        <v>0</v>
      </c>
      <c r="Y448" s="231">
        <f t="shared" si="137"/>
        <v>0</v>
      </c>
      <c r="Z448" s="232">
        <f t="shared" si="138"/>
        <v>0</v>
      </c>
      <c r="AA448" s="22">
        <f t="shared" si="135"/>
        <v>0</v>
      </c>
      <c r="AB448" s="424">
        <f t="shared" si="139"/>
        <v>0</v>
      </c>
      <c r="AC448" s="424">
        <f t="shared" si="140"/>
        <v>0</v>
      </c>
    </row>
    <row r="449" spans="1:29" s="269" customFormat="1" ht="14.25" customHeight="1" x14ac:dyDescent="0.25">
      <c r="A449" s="272"/>
      <c r="B449" s="276"/>
      <c r="C449" s="266"/>
      <c r="D449" s="354" t="s">
        <v>578</v>
      </c>
      <c r="E449" s="457"/>
      <c r="F449" s="268">
        <v>36.82</v>
      </c>
      <c r="G449" s="278"/>
      <c r="H449" s="151"/>
      <c r="I449" s="151"/>
      <c r="J449" s="151"/>
      <c r="N449" s="315"/>
      <c r="O449" s="315"/>
      <c r="P449" s="315"/>
      <c r="R449" s="274">
        <f>$R$447/$F$447*F449</f>
        <v>57045.164605678241</v>
      </c>
      <c r="S449" s="274">
        <f>S447/F447*F449</f>
        <v>25054.794558359623</v>
      </c>
      <c r="T449" s="443">
        <f>$T$447/$F$447*F449</f>
        <v>24964.76891167193</v>
      </c>
      <c r="U449" s="445"/>
      <c r="V449" s="443">
        <f t="shared" si="122"/>
        <v>32080.395694006311</v>
      </c>
      <c r="W449" s="295">
        <f>SUM(R449-S449)</f>
        <v>31990.370047318618</v>
      </c>
      <c r="X449" s="231">
        <f t="shared" si="136"/>
        <v>25054.794558359623</v>
      </c>
      <c r="Y449" s="231">
        <f t="shared" si="137"/>
        <v>0</v>
      </c>
      <c r="Z449" s="232">
        <f t="shared" si="138"/>
        <v>31990.370047318618</v>
      </c>
      <c r="AA449" s="22">
        <f t="shared" si="135"/>
        <v>0</v>
      </c>
      <c r="AB449" s="424">
        <f t="shared" si="139"/>
        <v>0</v>
      </c>
      <c r="AC449" s="424">
        <f t="shared" si="140"/>
        <v>0</v>
      </c>
    </row>
    <row r="450" spans="1:29" s="269" customFormat="1" ht="14.25" customHeight="1" x14ac:dyDescent="0.25">
      <c r="A450" s="272"/>
      <c r="B450" s="276"/>
      <c r="C450" s="266"/>
      <c r="D450" s="354" t="s">
        <v>579</v>
      </c>
      <c r="E450" s="457"/>
      <c r="F450" s="268">
        <v>51.94</v>
      </c>
      <c r="G450" s="278"/>
      <c r="H450" s="151"/>
      <c r="I450" s="151"/>
      <c r="J450" s="151"/>
      <c r="N450" s="315"/>
      <c r="O450" s="315"/>
      <c r="P450" s="315"/>
      <c r="R450" s="274">
        <f>$R$447/$F$447*F450</f>
        <v>80470.555394321782</v>
      </c>
      <c r="S450" s="274">
        <f>S447/F447*F450</f>
        <v>35343.455441640384</v>
      </c>
      <c r="T450" s="443">
        <f>$T$447/$F$447*F450</f>
        <v>35216.461088328084</v>
      </c>
      <c r="U450" s="445"/>
      <c r="V450" s="443">
        <f t="shared" si="122"/>
        <v>45254.094305993698</v>
      </c>
      <c r="W450" s="295">
        <f>SUM(R450-S450)</f>
        <v>45127.099952681398</v>
      </c>
      <c r="X450" s="231">
        <f t="shared" si="136"/>
        <v>35343.455441640384</v>
      </c>
      <c r="Y450" s="231">
        <f t="shared" si="137"/>
        <v>0</v>
      </c>
      <c r="Z450" s="232">
        <f t="shared" si="138"/>
        <v>45127.099952681398</v>
      </c>
      <c r="AA450" s="22">
        <f t="shared" si="135"/>
        <v>0</v>
      </c>
      <c r="AB450" s="424">
        <f t="shared" si="139"/>
        <v>0</v>
      </c>
      <c r="AC450" s="424">
        <f t="shared" si="140"/>
        <v>0</v>
      </c>
    </row>
    <row r="451" spans="1:29" s="269" customFormat="1" ht="14.25" customHeight="1" x14ac:dyDescent="0.25">
      <c r="A451" s="340"/>
      <c r="B451" s="293"/>
      <c r="C451" s="341"/>
      <c r="D451" s="485"/>
      <c r="E451" s="470"/>
      <c r="F451" s="342"/>
      <c r="G451" s="343"/>
      <c r="H451" s="344"/>
      <c r="I451" s="344"/>
      <c r="J451" s="344"/>
      <c r="K451" s="345"/>
      <c r="L451" s="345"/>
      <c r="M451" s="345"/>
      <c r="N451" s="350"/>
      <c r="O451" s="350"/>
      <c r="P451" s="350"/>
      <c r="Q451" s="345"/>
      <c r="R451" s="322"/>
      <c r="S451" s="322"/>
      <c r="T451" s="443"/>
      <c r="U451" s="445"/>
      <c r="V451" s="443"/>
      <c r="W451" s="347"/>
      <c r="X451" s="231">
        <f t="shared" si="136"/>
        <v>0</v>
      </c>
      <c r="Y451" s="231">
        <f t="shared" si="137"/>
        <v>0</v>
      </c>
      <c r="Z451" s="232">
        <f t="shared" si="138"/>
        <v>0</v>
      </c>
      <c r="AA451" s="22">
        <f t="shared" si="135"/>
        <v>0</v>
      </c>
      <c r="AB451" s="424">
        <f t="shared" si="139"/>
        <v>0</v>
      </c>
      <c r="AC451" s="424">
        <f t="shared" si="140"/>
        <v>0</v>
      </c>
    </row>
    <row r="452" spans="1:29" s="257" customFormat="1" ht="14.25" customHeight="1" x14ac:dyDescent="0.25">
      <c r="A452" s="224">
        <f>SUM(A447+1)</f>
        <v>111</v>
      </c>
      <c r="B452" s="225" t="s">
        <v>198</v>
      </c>
      <c r="C452" s="226">
        <v>400</v>
      </c>
      <c r="D452" s="225" t="s">
        <v>171</v>
      </c>
      <c r="E452" s="454">
        <v>4</v>
      </c>
      <c r="F452" s="252">
        <f>SUM(F453:F454)</f>
        <v>268.2</v>
      </c>
      <c r="G452" s="248">
        <v>1900</v>
      </c>
      <c r="H452" s="237">
        <f>SUM(Лист1!G126)</f>
        <v>378112.26</v>
      </c>
      <c r="I452" s="237">
        <f>SUM(Лист1!H126)</f>
        <v>56800.639999999999</v>
      </c>
      <c r="J452" s="237">
        <f>SUM(Лист1!I126)</f>
        <v>378.82</v>
      </c>
      <c r="K452" s="261"/>
      <c r="L452" s="261"/>
      <c r="M452" s="261"/>
      <c r="N452" s="261"/>
      <c r="O452" s="261"/>
      <c r="P452" s="261"/>
      <c r="Q452" s="261"/>
      <c r="R452" s="231">
        <f t="shared" si="73"/>
        <v>378112.26</v>
      </c>
      <c r="S452" s="231">
        <f>SUM(I452+O452-J452)</f>
        <v>56421.82</v>
      </c>
      <c r="T452" s="443">
        <f>S452-3*U452</f>
        <v>55285.36</v>
      </c>
      <c r="U452" s="445">
        <f t="shared" si="121"/>
        <v>378.82</v>
      </c>
      <c r="V452" s="443">
        <f t="shared" si="122"/>
        <v>322826.90000000002</v>
      </c>
      <c r="W452" s="238">
        <f t="shared" si="64"/>
        <v>321690.44</v>
      </c>
      <c r="X452" s="231">
        <f t="shared" si="136"/>
        <v>56043</v>
      </c>
      <c r="Y452" s="231">
        <f t="shared" si="137"/>
        <v>378.82</v>
      </c>
      <c r="Z452" s="232">
        <f t="shared" si="138"/>
        <v>322069.26</v>
      </c>
      <c r="AA452" s="22">
        <f t="shared" si="135"/>
        <v>0</v>
      </c>
      <c r="AB452" s="424">
        <f t="shared" si="139"/>
        <v>-2.8421709430404007E-13</v>
      </c>
      <c r="AC452" s="424">
        <f t="shared" si="140"/>
        <v>0</v>
      </c>
    </row>
    <row r="453" spans="1:29" s="149" customFormat="1" ht="14.25" customHeight="1" x14ac:dyDescent="0.25">
      <c r="A453" s="163"/>
      <c r="B453" s="167"/>
      <c r="C453" s="146"/>
      <c r="D453" s="161" t="s">
        <v>498</v>
      </c>
      <c r="E453" s="169"/>
      <c r="F453" s="139">
        <v>146.19999999999999</v>
      </c>
      <c r="G453" s="249"/>
      <c r="H453" s="148"/>
      <c r="I453" s="148"/>
      <c r="J453" s="148"/>
      <c r="R453" s="211">
        <f>$R$452/$F$452*F453</f>
        <v>206114.88595078301</v>
      </c>
      <c r="S453" s="211">
        <f>S452/F452*F453</f>
        <v>30756.413437733034</v>
      </c>
      <c r="T453" s="443">
        <f>$T$452/$F$452*F453</f>
        <v>30136.911379567489</v>
      </c>
      <c r="U453" s="445"/>
      <c r="V453" s="443">
        <f t="shared" si="122"/>
        <v>175977.97457121551</v>
      </c>
      <c r="W453" s="212">
        <f>SUM(R453-S453)</f>
        <v>175358.47251304996</v>
      </c>
      <c r="X453" s="231">
        <f t="shared" si="136"/>
        <v>30756.413437733034</v>
      </c>
      <c r="Y453" s="231">
        <f t="shared" si="137"/>
        <v>0</v>
      </c>
      <c r="Z453" s="232">
        <f t="shared" si="138"/>
        <v>175358.47251304996</v>
      </c>
      <c r="AA453" s="22">
        <f t="shared" si="135"/>
        <v>0</v>
      </c>
      <c r="AB453" s="424">
        <f t="shared" si="139"/>
        <v>0</v>
      </c>
      <c r="AC453" s="424">
        <f t="shared" si="140"/>
        <v>0</v>
      </c>
    </row>
    <row r="454" spans="1:29" s="149" customFormat="1" ht="14.25" customHeight="1" x14ac:dyDescent="0.25">
      <c r="A454" s="163"/>
      <c r="B454" s="167"/>
      <c r="C454" s="146"/>
      <c r="D454" s="161" t="s">
        <v>470</v>
      </c>
      <c r="E454" s="169"/>
      <c r="F454" s="139">
        <v>122</v>
      </c>
      <c r="G454" s="249"/>
      <c r="H454" s="148"/>
      <c r="I454" s="148"/>
      <c r="J454" s="148"/>
      <c r="R454" s="211">
        <f>$R$452/$F$452*F454</f>
        <v>171997.37404921703</v>
      </c>
      <c r="S454" s="211">
        <f>S452/F452*F454</f>
        <v>25665.406562266966</v>
      </c>
      <c r="T454" s="443">
        <f>$T$452/$F$452*F454</f>
        <v>25148.448620432515</v>
      </c>
      <c r="U454" s="445"/>
      <c r="V454" s="443">
        <f t="shared" si="122"/>
        <v>146848.92542878451</v>
      </c>
      <c r="W454" s="212">
        <f>SUM(R454-S454)</f>
        <v>146331.96748695007</v>
      </c>
      <c r="X454" s="231">
        <f t="shared" si="136"/>
        <v>25665.406562266966</v>
      </c>
      <c r="Y454" s="231">
        <f t="shared" si="137"/>
        <v>0</v>
      </c>
      <c r="Z454" s="232">
        <f t="shared" si="138"/>
        <v>146331.96748695007</v>
      </c>
      <c r="AA454" s="22">
        <f t="shared" si="135"/>
        <v>0</v>
      </c>
      <c r="AB454" s="424">
        <f t="shared" si="139"/>
        <v>0</v>
      </c>
      <c r="AC454" s="424">
        <f t="shared" si="140"/>
        <v>0</v>
      </c>
    </row>
    <row r="455" spans="1:29" s="149" customFormat="1" ht="14.25" customHeight="1" x14ac:dyDescent="0.25">
      <c r="A455" s="152"/>
      <c r="B455" s="143"/>
      <c r="C455" s="154"/>
      <c r="D455" s="162"/>
      <c r="E455" s="170"/>
      <c r="F455" s="158"/>
      <c r="G455" s="142"/>
      <c r="H455" s="157"/>
      <c r="I455" s="157"/>
      <c r="J455" s="157"/>
      <c r="K455" s="171"/>
      <c r="L455" s="171"/>
      <c r="M455" s="171"/>
      <c r="N455" s="171"/>
      <c r="O455" s="171"/>
      <c r="P455" s="171"/>
      <c r="Q455" s="171"/>
      <c r="R455" s="213"/>
      <c r="S455" s="213"/>
      <c r="T455" s="443"/>
      <c r="U455" s="445"/>
      <c r="V455" s="443"/>
      <c r="W455" s="214"/>
      <c r="X455" s="231">
        <f t="shared" si="136"/>
        <v>0</v>
      </c>
      <c r="Y455" s="231">
        <f t="shared" si="137"/>
        <v>0</v>
      </c>
      <c r="Z455" s="232">
        <f t="shared" si="138"/>
        <v>0</v>
      </c>
      <c r="AA455" s="22">
        <f t="shared" si="135"/>
        <v>0</v>
      </c>
      <c r="AB455" s="424">
        <f t="shared" si="139"/>
        <v>0</v>
      </c>
      <c r="AC455" s="424">
        <f t="shared" si="140"/>
        <v>0</v>
      </c>
    </row>
    <row r="456" spans="1:29" s="257" customFormat="1" ht="14.25" customHeight="1" x14ac:dyDescent="0.25">
      <c r="A456" s="224">
        <f>SUM(A452+1)</f>
        <v>112</v>
      </c>
      <c r="B456" s="225" t="s">
        <v>199</v>
      </c>
      <c r="C456" s="226">
        <v>402</v>
      </c>
      <c r="D456" s="225" t="s">
        <v>171</v>
      </c>
      <c r="E456" s="454">
        <v>18</v>
      </c>
      <c r="F456" s="252">
        <v>121.4</v>
      </c>
      <c r="G456" s="258">
        <v>1915</v>
      </c>
      <c r="H456" s="237">
        <f>SUM(Лист1!G127)</f>
        <v>195508.53</v>
      </c>
      <c r="I456" s="237">
        <f>SUM(Лист1!H127)</f>
        <v>27206.76</v>
      </c>
      <c r="J456" s="237">
        <f>SUM(Лист1!I127)</f>
        <v>189.46</v>
      </c>
      <c r="K456" s="261"/>
      <c r="L456" s="261"/>
      <c r="M456" s="261"/>
      <c r="N456" s="252">
        <v>8340.2800000000007</v>
      </c>
      <c r="O456" s="252">
        <v>5663.86</v>
      </c>
      <c r="P456" s="259">
        <v>31.89</v>
      </c>
      <c r="Q456" s="261"/>
      <c r="R456" s="231">
        <f t="shared" ref="R456" si="150">SUM(H456+N456)</f>
        <v>203848.81</v>
      </c>
      <c r="S456" s="231">
        <f>SUM(I456+O456-J456)</f>
        <v>32681.159999999996</v>
      </c>
      <c r="T456" s="443">
        <f>S456-3*U456</f>
        <v>32017.109999999997</v>
      </c>
      <c r="U456" s="445">
        <f t="shared" si="121"/>
        <v>221.35000000000002</v>
      </c>
      <c r="V456" s="443">
        <f t="shared" si="122"/>
        <v>171831.7</v>
      </c>
      <c r="W456" s="238">
        <f t="shared" si="64"/>
        <v>171167.65</v>
      </c>
      <c r="X456" s="231">
        <f t="shared" si="136"/>
        <v>32459.809999999998</v>
      </c>
      <c r="Y456" s="231">
        <f t="shared" si="137"/>
        <v>221.35000000000002</v>
      </c>
      <c r="Z456" s="232">
        <f t="shared" si="138"/>
        <v>171389</v>
      </c>
      <c r="AA456" s="22">
        <f t="shared" si="135"/>
        <v>0</v>
      </c>
      <c r="AB456" s="424">
        <f t="shared" si="139"/>
        <v>-1.4779288903810084E-12</v>
      </c>
      <c r="AC456" s="424">
        <f t="shared" si="140"/>
        <v>0</v>
      </c>
    </row>
    <row r="457" spans="1:29" s="149" customFormat="1" ht="14.25" customHeight="1" x14ac:dyDescent="0.25">
      <c r="A457" s="163"/>
      <c r="B457" s="167"/>
      <c r="C457" s="146"/>
      <c r="D457" s="161" t="s">
        <v>470</v>
      </c>
      <c r="E457" s="169"/>
      <c r="F457" s="139">
        <v>121.4</v>
      </c>
      <c r="G457" s="144"/>
      <c r="H457" s="148"/>
      <c r="I457" s="148"/>
      <c r="J457" s="148"/>
      <c r="N457" s="139"/>
      <c r="O457" s="139"/>
      <c r="P457" s="140"/>
      <c r="R457" s="211"/>
      <c r="S457" s="211"/>
      <c r="T457" s="443"/>
      <c r="U457" s="445"/>
      <c r="V457" s="443"/>
      <c r="W457" s="212"/>
      <c r="X457" s="231">
        <f t="shared" si="136"/>
        <v>0</v>
      </c>
      <c r="Y457" s="231">
        <f t="shared" si="137"/>
        <v>0</v>
      </c>
      <c r="Z457" s="232">
        <f t="shared" si="138"/>
        <v>0</v>
      </c>
      <c r="AA457" s="22">
        <f t="shared" si="135"/>
        <v>0</v>
      </c>
      <c r="AB457" s="424">
        <f t="shared" si="139"/>
        <v>0</v>
      </c>
      <c r="AC457" s="424">
        <f t="shared" si="140"/>
        <v>0</v>
      </c>
    </row>
    <row r="458" spans="1:29" s="149" customFormat="1" ht="14.25" customHeight="1" x14ac:dyDescent="0.25">
      <c r="A458" s="152"/>
      <c r="B458" s="143"/>
      <c r="C458" s="154"/>
      <c r="D458" s="143"/>
      <c r="E458" s="170"/>
      <c r="F458" s="158"/>
      <c r="G458" s="156"/>
      <c r="H458" s="157"/>
      <c r="I458" s="157"/>
      <c r="J458" s="157"/>
      <c r="K458" s="171"/>
      <c r="L458" s="171"/>
      <c r="M458" s="171"/>
      <c r="N458" s="158"/>
      <c r="O458" s="158"/>
      <c r="P458" s="159"/>
      <c r="Q458" s="171"/>
      <c r="R458" s="213"/>
      <c r="S458" s="213"/>
      <c r="T458" s="443"/>
      <c r="U458" s="445"/>
      <c r="V458" s="443"/>
      <c r="W458" s="214"/>
      <c r="X458" s="231">
        <f t="shared" si="136"/>
        <v>0</v>
      </c>
      <c r="Y458" s="231">
        <f t="shared" si="137"/>
        <v>0</v>
      </c>
      <c r="Z458" s="232">
        <f t="shared" si="138"/>
        <v>0</v>
      </c>
      <c r="AA458" s="22">
        <f t="shared" si="135"/>
        <v>0</v>
      </c>
      <c r="AB458" s="424">
        <f t="shared" si="139"/>
        <v>0</v>
      </c>
      <c r="AC458" s="424">
        <f t="shared" si="140"/>
        <v>0</v>
      </c>
    </row>
    <row r="459" spans="1:29" s="560" customFormat="1" ht="14.25" hidden="1" customHeight="1" x14ac:dyDescent="0.25">
      <c r="A459" s="539">
        <f>SUM(A456+1)</f>
        <v>113</v>
      </c>
      <c r="B459" s="551" t="s">
        <v>200</v>
      </c>
      <c r="C459" s="552">
        <v>404</v>
      </c>
      <c r="D459" s="551" t="s">
        <v>171</v>
      </c>
      <c r="E459" s="553">
        <v>32</v>
      </c>
      <c r="F459" s="561"/>
      <c r="G459" s="562"/>
      <c r="H459" s="556"/>
      <c r="I459" s="556"/>
      <c r="J459" s="556"/>
      <c r="K459" s="557"/>
      <c r="L459" s="557"/>
      <c r="M459" s="557"/>
      <c r="N459" s="557"/>
      <c r="O459" s="557"/>
      <c r="P459" s="557"/>
      <c r="Q459" s="557"/>
      <c r="R459" s="558"/>
      <c r="S459" s="524"/>
      <c r="T459" s="521"/>
      <c r="U459" s="522"/>
      <c r="V459" s="521"/>
      <c r="W459" s="559">
        <f t="shared" si="64"/>
        <v>0</v>
      </c>
      <c r="X459" s="524">
        <f t="shared" si="136"/>
        <v>0</v>
      </c>
      <c r="Y459" s="524">
        <f t="shared" si="137"/>
        <v>0</v>
      </c>
      <c r="Z459" s="525">
        <f t="shared" si="138"/>
        <v>0</v>
      </c>
      <c r="AA459" s="526">
        <f t="shared" si="135"/>
        <v>0</v>
      </c>
      <c r="AB459" s="527">
        <f t="shared" si="139"/>
        <v>0</v>
      </c>
      <c r="AC459" s="527">
        <f t="shared" si="140"/>
        <v>0</v>
      </c>
    </row>
    <row r="460" spans="1:29" s="570" customFormat="1" ht="14.25" hidden="1" customHeight="1" x14ac:dyDescent="0.25">
      <c r="A460" s="563"/>
      <c r="B460" s="564"/>
      <c r="C460" s="565"/>
      <c r="D460" s="564" t="s">
        <v>477</v>
      </c>
      <c r="E460" s="566"/>
      <c r="F460" s="567"/>
      <c r="G460" s="568"/>
      <c r="H460" s="569"/>
      <c r="I460" s="569"/>
      <c r="J460" s="569"/>
      <c r="R460" s="571"/>
      <c r="S460" s="571"/>
      <c r="T460" s="521"/>
      <c r="U460" s="522"/>
      <c r="V460" s="521"/>
      <c r="W460" s="572"/>
      <c r="X460" s="524">
        <f t="shared" si="136"/>
        <v>0</v>
      </c>
      <c r="Y460" s="524">
        <f t="shared" si="137"/>
        <v>0</v>
      </c>
      <c r="Z460" s="525">
        <f t="shared" si="138"/>
        <v>0</v>
      </c>
      <c r="AA460" s="526">
        <f t="shared" si="135"/>
        <v>0</v>
      </c>
      <c r="AB460" s="527">
        <f t="shared" si="139"/>
        <v>0</v>
      </c>
      <c r="AC460" s="527">
        <f t="shared" si="140"/>
        <v>0</v>
      </c>
    </row>
    <row r="461" spans="1:29" s="149" customFormat="1" ht="14.25" hidden="1" customHeight="1" x14ac:dyDescent="0.25">
      <c r="A461" s="152"/>
      <c r="B461" s="143"/>
      <c r="C461" s="154"/>
      <c r="D461" s="486"/>
      <c r="E461" s="472"/>
      <c r="F461" s="370"/>
      <c r="G461" s="156"/>
      <c r="H461" s="157"/>
      <c r="I461" s="157"/>
      <c r="J461" s="157"/>
      <c r="K461" s="171"/>
      <c r="L461" s="171"/>
      <c r="M461" s="171"/>
      <c r="N461" s="171"/>
      <c r="O461" s="171"/>
      <c r="P461" s="171"/>
      <c r="Q461" s="171"/>
      <c r="R461" s="213"/>
      <c r="S461" s="213"/>
      <c r="T461" s="443"/>
      <c r="U461" s="445"/>
      <c r="V461" s="443"/>
      <c r="W461" s="214"/>
      <c r="X461" s="231">
        <f t="shared" si="136"/>
        <v>0</v>
      </c>
      <c r="Y461" s="231">
        <f t="shared" si="137"/>
        <v>0</v>
      </c>
      <c r="Z461" s="232">
        <f t="shared" si="138"/>
        <v>0</v>
      </c>
      <c r="AA461" s="22">
        <f t="shared" si="135"/>
        <v>0</v>
      </c>
      <c r="AB461" s="424">
        <f t="shared" si="139"/>
        <v>0</v>
      </c>
      <c r="AC461" s="424">
        <f t="shared" si="140"/>
        <v>0</v>
      </c>
    </row>
    <row r="462" spans="1:29" s="287" customFormat="1" ht="14.25" customHeight="1" x14ac:dyDescent="0.25">
      <c r="A462" s="313">
        <f>SUM(A456+1)</f>
        <v>113</v>
      </c>
      <c r="B462" s="307" t="s">
        <v>201</v>
      </c>
      <c r="C462" s="348">
        <v>406</v>
      </c>
      <c r="D462" s="307" t="s">
        <v>202</v>
      </c>
      <c r="E462" s="469">
        <v>1</v>
      </c>
      <c r="F462" s="308">
        <v>47.32</v>
      </c>
      <c r="G462" s="339">
        <v>1903</v>
      </c>
      <c r="H462" s="310">
        <f>SUM(Лист1!G129)</f>
        <v>85197.69</v>
      </c>
      <c r="I462" s="310">
        <f>SUM(Лист1!H129)</f>
        <v>12803</v>
      </c>
      <c r="J462" s="310">
        <f>SUM(Лист1!I129)</f>
        <v>85.4</v>
      </c>
      <c r="K462" s="311"/>
      <c r="L462" s="311"/>
      <c r="M462" s="311"/>
      <c r="N462" s="311"/>
      <c r="O462" s="311"/>
      <c r="P462" s="311"/>
      <c r="Q462" s="311"/>
      <c r="R462" s="314">
        <f t="shared" si="73"/>
        <v>85197.69</v>
      </c>
      <c r="S462" s="231">
        <f>SUM(I462+O462-J462)</f>
        <v>12717.6</v>
      </c>
      <c r="T462" s="443">
        <f>S462-3*U462</f>
        <v>12461.4</v>
      </c>
      <c r="U462" s="445">
        <f t="shared" si="121"/>
        <v>85.4</v>
      </c>
      <c r="V462" s="443">
        <f t="shared" si="122"/>
        <v>72736.290000000008</v>
      </c>
      <c r="W462" s="312">
        <f t="shared" si="64"/>
        <v>72480.09</v>
      </c>
      <c r="X462" s="231">
        <f t="shared" si="136"/>
        <v>12632.2</v>
      </c>
      <c r="Y462" s="231">
        <f t="shared" si="137"/>
        <v>85.4</v>
      </c>
      <c r="Z462" s="232">
        <f t="shared" si="138"/>
        <v>72565.489999999991</v>
      </c>
      <c r="AA462" s="22">
        <f t="shared" si="135"/>
        <v>0</v>
      </c>
      <c r="AB462" s="424">
        <f t="shared" si="139"/>
        <v>-3.694822225952521E-13</v>
      </c>
      <c r="AC462" s="424">
        <f t="shared" si="140"/>
        <v>1.4551915228366852E-11</v>
      </c>
    </row>
    <row r="463" spans="1:29" s="149" customFormat="1" ht="14.25" customHeight="1" x14ac:dyDescent="0.25">
      <c r="A463" s="163"/>
      <c r="B463" s="167"/>
      <c r="C463" s="146"/>
      <c r="D463" s="357" t="s">
        <v>477</v>
      </c>
      <c r="E463" s="169"/>
      <c r="F463" s="139">
        <v>47.32</v>
      </c>
      <c r="G463" s="249"/>
      <c r="H463" s="148"/>
      <c r="I463" s="148"/>
      <c r="J463" s="148"/>
      <c r="R463" s="211"/>
      <c r="S463" s="211"/>
      <c r="T463" s="443"/>
      <c r="U463" s="445"/>
      <c r="V463" s="443"/>
      <c r="W463" s="212"/>
      <c r="X463" s="231">
        <f t="shared" si="136"/>
        <v>0</v>
      </c>
      <c r="Y463" s="231">
        <f t="shared" si="137"/>
        <v>0</v>
      </c>
      <c r="Z463" s="232">
        <f t="shared" si="138"/>
        <v>0</v>
      </c>
      <c r="AA463" s="22">
        <f t="shared" si="135"/>
        <v>0</v>
      </c>
      <c r="AB463" s="424">
        <f t="shared" si="139"/>
        <v>0</v>
      </c>
      <c r="AC463" s="424">
        <f t="shared" si="140"/>
        <v>0</v>
      </c>
    </row>
    <row r="464" spans="1:29" s="149" customFormat="1" ht="14.25" customHeight="1" x14ac:dyDescent="0.25">
      <c r="A464" s="152"/>
      <c r="B464" s="143"/>
      <c r="C464" s="154"/>
      <c r="D464" s="143"/>
      <c r="E464" s="170"/>
      <c r="F464" s="158"/>
      <c r="G464" s="142"/>
      <c r="H464" s="157"/>
      <c r="I464" s="157"/>
      <c r="J464" s="157"/>
      <c r="K464" s="171"/>
      <c r="L464" s="171"/>
      <c r="M464" s="171"/>
      <c r="N464" s="171"/>
      <c r="O464" s="171"/>
      <c r="P464" s="171"/>
      <c r="Q464" s="171"/>
      <c r="R464" s="213"/>
      <c r="S464" s="213"/>
      <c r="T464" s="443"/>
      <c r="U464" s="445"/>
      <c r="V464" s="443"/>
      <c r="W464" s="214"/>
      <c r="X464" s="231">
        <f t="shared" si="136"/>
        <v>0</v>
      </c>
      <c r="Y464" s="231">
        <f t="shared" si="137"/>
        <v>0</v>
      </c>
      <c r="Z464" s="232">
        <f t="shared" si="138"/>
        <v>0</v>
      </c>
      <c r="AA464" s="22">
        <f t="shared" si="135"/>
        <v>0</v>
      </c>
      <c r="AB464" s="424">
        <f t="shared" si="139"/>
        <v>0</v>
      </c>
      <c r="AC464" s="424">
        <f t="shared" si="140"/>
        <v>0</v>
      </c>
    </row>
    <row r="465" spans="1:29" s="257" customFormat="1" ht="14.25" customHeight="1" x14ac:dyDescent="0.25">
      <c r="A465" s="224">
        <f>SUM(A462+1)</f>
        <v>114</v>
      </c>
      <c r="B465" s="225" t="s">
        <v>203</v>
      </c>
      <c r="C465" s="226">
        <v>411</v>
      </c>
      <c r="D465" s="225" t="s">
        <v>204</v>
      </c>
      <c r="E465" s="454">
        <v>50</v>
      </c>
      <c r="F465" s="252">
        <f>F467+F468</f>
        <v>61.28</v>
      </c>
      <c r="G465" s="248">
        <v>1973</v>
      </c>
      <c r="H465" s="237">
        <f>SUM(Лист1!G130)</f>
        <v>83273.320000000007</v>
      </c>
      <c r="I465" s="237">
        <f>SUM(Лист1!H130)</f>
        <v>26527.01</v>
      </c>
      <c r="J465" s="237">
        <f>SUM(Лист1!I130)</f>
        <v>44.72</v>
      </c>
      <c r="K465" s="261"/>
      <c r="L465" s="261"/>
      <c r="M465" s="261"/>
      <c r="N465" s="259">
        <v>592.33000000000004</v>
      </c>
      <c r="O465" s="259">
        <v>480.78</v>
      </c>
      <c r="P465" s="259">
        <v>0.79</v>
      </c>
      <c r="Q465" s="261"/>
      <c r="R465" s="231">
        <f t="shared" ref="R465" si="151">SUM(H465+N465)</f>
        <v>83865.650000000009</v>
      </c>
      <c r="S465" s="231">
        <f>SUM(I465+O465-J465)</f>
        <v>26963.069999999996</v>
      </c>
      <c r="T465" s="443">
        <f>S465-3*U465</f>
        <v>26826.539999999997</v>
      </c>
      <c r="U465" s="445">
        <f t="shared" ref="U465:U527" si="152">J465+P465</f>
        <v>45.51</v>
      </c>
      <c r="V465" s="443">
        <f t="shared" ref="V465:V527" si="153">R465-T465</f>
        <v>57039.110000000015</v>
      </c>
      <c r="W465" s="238">
        <f t="shared" si="64"/>
        <v>56902.580000000016</v>
      </c>
      <c r="X465" s="231">
        <f t="shared" si="136"/>
        <v>26917.559999999998</v>
      </c>
      <c r="Y465" s="231">
        <f t="shared" si="137"/>
        <v>45.51</v>
      </c>
      <c r="Z465" s="232">
        <f t="shared" si="138"/>
        <v>56948.090000000018</v>
      </c>
      <c r="AA465" s="22">
        <f t="shared" si="135"/>
        <v>0</v>
      </c>
      <c r="AB465" s="424">
        <f t="shared" si="139"/>
        <v>-1.5987211554602254E-12</v>
      </c>
      <c r="AC465" s="424">
        <f t="shared" si="140"/>
        <v>-7.2759576141834259E-12</v>
      </c>
    </row>
    <row r="466" spans="1:29" s="149" customFormat="1" ht="14.25" customHeight="1" x14ac:dyDescent="0.25">
      <c r="A466" s="163"/>
      <c r="B466" s="167"/>
      <c r="C466" s="146"/>
      <c r="D466" s="357" t="s">
        <v>518</v>
      </c>
      <c r="E466" s="169"/>
      <c r="F466" s="139"/>
      <c r="G466" s="249"/>
      <c r="H466" s="148"/>
      <c r="I466" s="148"/>
      <c r="J466" s="148"/>
      <c r="N466" s="140"/>
      <c r="O466" s="140"/>
      <c r="P466" s="140"/>
      <c r="R466" s="211"/>
      <c r="S466" s="211"/>
      <c r="T466" s="443"/>
      <c r="U466" s="445"/>
      <c r="V466" s="443"/>
      <c r="W466" s="212"/>
      <c r="X466" s="231">
        <f t="shared" si="136"/>
        <v>0</v>
      </c>
      <c r="Y466" s="231">
        <f t="shared" si="137"/>
        <v>0</v>
      </c>
      <c r="Z466" s="232">
        <f t="shared" si="138"/>
        <v>0</v>
      </c>
      <c r="AA466" s="22">
        <f t="shared" si="135"/>
        <v>0</v>
      </c>
      <c r="AB466" s="424">
        <f t="shared" si="139"/>
        <v>0</v>
      </c>
      <c r="AC466" s="424">
        <f t="shared" si="140"/>
        <v>0</v>
      </c>
    </row>
    <row r="467" spans="1:29" s="149" customFormat="1" ht="14.25" customHeight="1" x14ac:dyDescent="0.25">
      <c r="A467" s="163"/>
      <c r="B467" s="167"/>
      <c r="C467" s="146"/>
      <c r="D467" s="358" t="s">
        <v>580</v>
      </c>
      <c r="E467" s="169"/>
      <c r="F467" s="139">
        <v>31.58</v>
      </c>
      <c r="G467" s="249"/>
      <c r="H467" s="148"/>
      <c r="I467" s="148"/>
      <c r="J467" s="148"/>
      <c r="N467" s="140"/>
      <c r="O467" s="140"/>
      <c r="P467" s="140"/>
      <c r="R467" s="211">
        <f>$R$465/$F$465*F467</f>
        <v>43219.275897519583</v>
      </c>
      <c r="S467" s="211">
        <f>S465/F465*F467</f>
        <v>13895.13300587467</v>
      </c>
      <c r="T467" s="443">
        <f>$T$465/$F$465*F467</f>
        <v>13824.773714099214</v>
      </c>
      <c r="U467" s="445"/>
      <c r="V467" s="443">
        <f t="shared" si="153"/>
        <v>29394.502183420369</v>
      </c>
      <c r="W467" s="212">
        <f>SUM(R467-S467)</f>
        <v>29324.142891644915</v>
      </c>
      <c r="X467" s="231">
        <f t="shared" si="136"/>
        <v>13895.13300587467</v>
      </c>
      <c r="Y467" s="231">
        <f t="shared" si="137"/>
        <v>0</v>
      </c>
      <c r="Z467" s="232">
        <f t="shared" si="138"/>
        <v>29324.142891644915</v>
      </c>
      <c r="AA467" s="22">
        <f t="shared" si="135"/>
        <v>0</v>
      </c>
      <c r="AB467" s="424">
        <f t="shared" si="139"/>
        <v>0</v>
      </c>
      <c r="AC467" s="424">
        <f t="shared" si="140"/>
        <v>0</v>
      </c>
    </row>
    <row r="468" spans="1:29" s="149" customFormat="1" ht="14.25" customHeight="1" x14ac:dyDescent="0.25">
      <c r="A468" s="163"/>
      <c r="B468" s="167"/>
      <c r="C468" s="146"/>
      <c r="D468" s="358" t="s">
        <v>552</v>
      </c>
      <c r="E468" s="169"/>
      <c r="F468" s="139">
        <v>29.7</v>
      </c>
      <c r="G468" s="249"/>
      <c r="H468" s="148"/>
      <c r="I468" s="148"/>
      <c r="J468" s="148"/>
      <c r="N468" s="140"/>
      <c r="O468" s="140"/>
      <c r="P468" s="140"/>
      <c r="R468" s="211">
        <f>$R$465/$F$465*F468</f>
        <v>40646.374102480419</v>
      </c>
      <c r="S468" s="211">
        <f>S465/F465*F468</f>
        <v>13067.936994125324</v>
      </c>
      <c r="T468" s="443">
        <f>$T$465/$F$465*F468</f>
        <v>13001.766285900781</v>
      </c>
      <c r="U468" s="445"/>
      <c r="V468" s="443">
        <f t="shared" si="153"/>
        <v>27644.607816579635</v>
      </c>
      <c r="W468" s="212">
        <f>SUM(R468-S468)</f>
        <v>27578.437108355094</v>
      </c>
      <c r="X468" s="231">
        <f t="shared" si="136"/>
        <v>13067.936994125324</v>
      </c>
      <c r="Y468" s="231">
        <f t="shared" si="137"/>
        <v>0</v>
      </c>
      <c r="Z468" s="232">
        <f t="shared" si="138"/>
        <v>27578.437108355094</v>
      </c>
      <c r="AA468" s="22">
        <f t="shared" si="135"/>
        <v>0</v>
      </c>
      <c r="AB468" s="424">
        <f t="shared" si="139"/>
        <v>0</v>
      </c>
      <c r="AC468" s="424">
        <f t="shared" si="140"/>
        <v>0</v>
      </c>
    </row>
    <row r="469" spans="1:29" s="149" customFormat="1" ht="14.25" customHeight="1" x14ac:dyDescent="0.25">
      <c r="A469" s="152"/>
      <c r="B469" s="143"/>
      <c r="C469" s="154"/>
      <c r="D469" s="143"/>
      <c r="E469" s="170"/>
      <c r="F469" s="158"/>
      <c r="G469" s="142"/>
      <c r="H469" s="157"/>
      <c r="I469" s="157"/>
      <c r="J469" s="157"/>
      <c r="K469" s="171"/>
      <c r="L469" s="171"/>
      <c r="M469" s="171"/>
      <c r="N469" s="159"/>
      <c r="O469" s="159"/>
      <c r="P469" s="159"/>
      <c r="Q469" s="171"/>
      <c r="R469" s="213"/>
      <c r="S469" s="213"/>
      <c r="T469" s="443"/>
      <c r="U469" s="445"/>
      <c r="V469" s="443"/>
      <c r="W469" s="214"/>
      <c r="X469" s="231">
        <f t="shared" si="136"/>
        <v>0</v>
      </c>
      <c r="Y469" s="231">
        <f t="shared" si="137"/>
        <v>0</v>
      </c>
      <c r="Z469" s="232">
        <f t="shared" si="138"/>
        <v>0</v>
      </c>
      <c r="AA469" s="22">
        <f t="shared" si="135"/>
        <v>0</v>
      </c>
      <c r="AB469" s="424">
        <f t="shared" si="139"/>
        <v>0</v>
      </c>
      <c r="AC469" s="424">
        <f t="shared" si="140"/>
        <v>0</v>
      </c>
    </row>
    <row r="470" spans="1:29" s="257" customFormat="1" ht="14.25" customHeight="1" x14ac:dyDescent="0.25">
      <c r="A470" s="224">
        <f>SUM(A465+1)</f>
        <v>115</v>
      </c>
      <c r="B470" s="225" t="s">
        <v>205</v>
      </c>
      <c r="C470" s="226">
        <v>412</v>
      </c>
      <c r="D470" s="225" t="s">
        <v>204</v>
      </c>
      <c r="E470" s="454">
        <v>46</v>
      </c>
      <c r="F470" s="252">
        <v>136.13</v>
      </c>
      <c r="G470" s="248">
        <v>1967</v>
      </c>
      <c r="H470" s="237">
        <f>SUM(Лист1!G131)</f>
        <v>178757.18</v>
      </c>
      <c r="I470" s="237">
        <f>SUM(Лист1!H131)</f>
        <v>54815.96</v>
      </c>
      <c r="J470" s="237">
        <f>SUM(Лист1!I131)</f>
        <v>98.45</v>
      </c>
      <c r="K470" s="261"/>
      <c r="L470" s="261"/>
      <c r="M470" s="261"/>
      <c r="N470" s="252">
        <v>1630.3</v>
      </c>
      <c r="O470" s="252">
        <v>1395.62</v>
      </c>
      <c r="P470" s="259">
        <v>2.41</v>
      </c>
      <c r="Q470" s="261"/>
      <c r="R470" s="231">
        <f t="shared" ref="R470" si="154">SUM(H470+N470)</f>
        <v>180387.47999999998</v>
      </c>
      <c r="S470" s="231">
        <f>SUM(I470+O470-J470)</f>
        <v>56113.130000000005</v>
      </c>
      <c r="T470" s="443">
        <f>S470-3*U470</f>
        <v>55810.55</v>
      </c>
      <c r="U470" s="445">
        <f t="shared" si="152"/>
        <v>100.86</v>
      </c>
      <c r="V470" s="443">
        <f t="shared" si="153"/>
        <v>124576.92999999998</v>
      </c>
      <c r="W470" s="238">
        <f t="shared" si="64"/>
        <v>124274.34999999998</v>
      </c>
      <c r="X470" s="231">
        <f t="shared" si="136"/>
        <v>56012.270000000004</v>
      </c>
      <c r="Y470" s="231">
        <f t="shared" si="137"/>
        <v>100.86</v>
      </c>
      <c r="Z470" s="232">
        <f t="shared" si="138"/>
        <v>124375.20999999998</v>
      </c>
      <c r="AA470" s="22">
        <f t="shared" si="135"/>
        <v>0</v>
      </c>
      <c r="AB470" s="424">
        <f t="shared" si="139"/>
        <v>5.8264504332328215E-13</v>
      </c>
      <c r="AC470" s="424">
        <f t="shared" si="140"/>
        <v>0</v>
      </c>
    </row>
    <row r="471" spans="1:29" s="149" customFormat="1" ht="14.25" customHeight="1" x14ac:dyDescent="0.25">
      <c r="A471" s="163"/>
      <c r="B471" s="167"/>
      <c r="C471" s="146"/>
      <c r="D471" s="357" t="s">
        <v>518</v>
      </c>
      <c r="E471" s="169"/>
      <c r="F471" s="139"/>
      <c r="G471" s="249"/>
      <c r="H471" s="148"/>
      <c r="I471" s="148"/>
      <c r="J471" s="148"/>
      <c r="N471" s="139"/>
      <c r="O471" s="139"/>
      <c r="P471" s="140"/>
      <c r="R471" s="211"/>
      <c r="S471" s="211"/>
      <c r="T471" s="443"/>
      <c r="U471" s="445"/>
      <c r="V471" s="443"/>
      <c r="W471" s="212"/>
      <c r="X471" s="231">
        <f t="shared" si="136"/>
        <v>0</v>
      </c>
      <c r="Y471" s="231">
        <f t="shared" si="137"/>
        <v>0</v>
      </c>
      <c r="Z471" s="232">
        <f t="shared" si="138"/>
        <v>0</v>
      </c>
      <c r="AA471" s="22">
        <f t="shared" si="135"/>
        <v>0</v>
      </c>
      <c r="AB471" s="424">
        <f t="shared" si="139"/>
        <v>0</v>
      </c>
      <c r="AC471" s="424">
        <f t="shared" si="140"/>
        <v>0</v>
      </c>
    </row>
    <row r="472" spans="1:29" s="149" customFormat="1" ht="14.25" customHeight="1" x14ac:dyDescent="0.25">
      <c r="A472" s="163"/>
      <c r="B472" s="167"/>
      <c r="C472" s="146"/>
      <c r="D472" s="358" t="s">
        <v>546</v>
      </c>
      <c r="E472" s="169"/>
      <c r="F472" s="139">
        <v>45.3</v>
      </c>
      <c r="G472" s="249"/>
      <c r="H472" s="148"/>
      <c r="I472" s="148"/>
      <c r="J472" s="148"/>
      <c r="N472" s="139"/>
      <c r="O472" s="139"/>
      <c r="P472" s="140"/>
      <c r="R472" s="211">
        <f>$R$470/$F$470*F472</f>
        <v>60027.568089326371</v>
      </c>
      <c r="S472" s="211">
        <f>S470/F470*F472</f>
        <v>18672.77447293029</v>
      </c>
      <c r="T472" s="443">
        <f>$T$470/$F$470*F472</f>
        <v>18572.084882097995</v>
      </c>
      <c r="U472" s="445"/>
      <c r="V472" s="443">
        <f t="shared" si="153"/>
        <v>41455.483207228375</v>
      </c>
      <c r="W472" s="212">
        <f>SUM(R472-S472)</f>
        <v>41354.793616396084</v>
      </c>
      <c r="X472" s="231">
        <f t="shared" si="136"/>
        <v>18672.77447293029</v>
      </c>
      <c r="Y472" s="231">
        <f t="shared" si="137"/>
        <v>0</v>
      </c>
      <c r="Z472" s="232">
        <f t="shared" si="138"/>
        <v>41354.793616396084</v>
      </c>
      <c r="AA472" s="22">
        <f t="shared" si="135"/>
        <v>0</v>
      </c>
      <c r="AB472" s="424">
        <f t="shared" si="139"/>
        <v>0</v>
      </c>
      <c r="AC472" s="424">
        <f t="shared" si="140"/>
        <v>0</v>
      </c>
    </row>
    <row r="473" spans="1:29" s="149" customFormat="1" ht="14.25" customHeight="1" x14ac:dyDescent="0.25">
      <c r="A473" s="163"/>
      <c r="B473" s="167"/>
      <c r="C473" s="146"/>
      <c r="D473" s="358" t="s">
        <v>581</v>
      </c>
      <c r="E473" s="169"/>
      <c r="F473" s="139">
        <v>45.63</v>
      </c>
      <c r="G473" s="249"/>
      <c r="H473" s="148"/>
      <c r="I473" s="148"/>
      <c r="J473" s="148"/>
      <c r="N473" s="139"/>
      <c r="O473" s="139"/>
      <c r="P473" s="140"/>
      <c r="R473" s="211">
        <f t="shared" ref="R473:R474" si="155">$R$470/$F$470*F473</f>
        <v>60464.8550091824</v>
      </c>
      <c r="S473" s="211">
        <f>S470/F470*F473</f>
        <v>18808.801306839054</v>
      </c>
      <c r="T473" s="443">
        <f t="shared" ref="T473:T474" si="156">$T$470/$F$470*F473</f>
        <v>18707.378215676195</v>
      </c>
      <c r="U473" s="445"/>
      <c r="V473" s="443">
        <f t="shared" si="153"/>
        <v>41757.476793506205</v>
      </c>
      <c r="W473" s="212">
        <f t="shared" ref="W473:W474" si="157">SUM(R473-S473)</f>
        <v>41656.053702343343</v>
      </c>
      <c r="X473" s="231">
        <f t="shared" si="136"/>
        <v>18808.801306839054</v>
      </c>
      <c r="Y473" s="231">
        <f t="shared" si="137"/>
        <v>0</v>
      </c>
      <c r="Z473" s="232">
        <f t="shared" si="138"/>
        <v>41656.053702343343</v>
      </c>
      <c r="AA473" s="22">
        <f t="shared" si="135"/>
        <v>0</v>
      </c>
      <c r="AB473" s="424">
        <f t="shared" si="139"/>
        <v>0</v>
      </c>
      <c r="AC473" s="424">
        <f t="shared" si="140"/>
        <v>0</v>
      </c>
    </row>
    <row r="474" spans="1:29" s="149" customFormat="1" ht="14.25" customHeight="1" x14ac:dyDescent="0.25">
      <c r="A474" s="163"/>
      <c r="B474" s="167"/>
      <c r="C474" s="146"/>
      <c r="D474" s="358" t="s">
        <v>572</v>
      </c>
      <c r="E474" s="169"/>
      <c r="F474" s="139">
        <v>45.2</v>
      </c>
      <c r="G474" s="249"/>
      <c r="H474" s="148"/>
      <c r="I474" s="148"/>
      <c r="J474" s="148"/>
      <c r="N474" s="139"/>
      <c r="O474" s="139"/>
      <c r="P474" s="140"/>
      <c r="R474" s="211">
        <f t="shared" si="155"/>
        <v>59895.056901491218</v>
      </c>
      <c r="S474" s="211">
        <f>S470/F470*F474</f>
        <v>18631.554220230668</v>
      </c>
      <c r="T474" s="443">
        <f t="shared" si="156"/>
        <v>18531.086902225816</v>
      </c>
      <c r="U474" s="445"/>
      <c r="V474" s="443">
        <f t="shared" si="153"/>
        <v>41363.969999265406</v>
      </c>
      <c r="W474" s="212">
        <f t="shared" si="157"/>
        <v>41263.50268126055</v>
      </c>
      <c r="X474" s="231">
        <f t="shared" si="136"/>
        <v>18631.554220230668</v>
      </c>
      <c r="Y474" s="231">
        <f t="shared" si="137"/>
        <v>0</v>
      </c>
      <c r="Z474" s="232">
        <f t="shared" si="138"/>
        <v>41263.50268126055</v>
      </c>
      <c r="AA474" s="22">
        <f t="shared" si="135"/>
        <v>0</v>
      </c>
      <c r="AB474" s="424">
        <f t="shared" si="139"/>
        <v>0</v>
      </c>
      <c r="AC474" s="424">
        <f t="shared" si="140"/>
        <v>0</v>
      </c>
    </row>
    <row r="475" spans="1:29" s="149" customFormat="1" ht="14.25" customHeight="1" x14ac:dyDescent="0.25">
      <c r="A475" s="152"/>
      <c r="B475" s="143"/>
      <c r="C475" s="154"/>
      <c r="D475" s="143"/>
      <c r="E475" s="170"/>
      <c r="F475" s="158"/>
      <c r="G475" s="142"/>
      <c r="H475" s="157"/>
      <c r="I475" s="157"/>
      <c r="J475" s="157"/>
      <c r="K475" s="171"/>
      <c r="L475" s="171"/>
      <c r="M475" s="171"/>
      <c r="N475" s="158"/>
      <c r="O475" s="158"/>
      <c r="P475" s="159"/>
      <c r="Q475" s="171"/>
      <c r="R475" s="213"/>
      <c r="S475" s="213"/>
      <c r="T475" s="443"/>
      <c r="U475" s="445"/>
      <c r="V475" s="443"/>
      <c r="W475" s="214"/>
      <c r="X475" s="231">
        <f t="shared" si="136"/>
        <v>0</v>
      </c>
      <c r="Y475" s="231">
        <f t="shared" si="137"/>
        <v>0</v>
      </c>
      <c r="Z475" s="232">
        <f t="shared" si="138"/>
        <v>0</v>
      </c>
      <c r="AA475" s="22">
        <f t="shared" si="135"/>
        <v>0</v>
      </c>
      <c r="AB475" s="424">
        <f t="shared" si="139"/>
        <v>0</v>
      </c>
      <c r="AC475" s="424">
        <f t="shared" si="140"/>
        <v>0</v>
      </c>
    </row>
    <row r="476" spans="1:29" s="257" customFormat="1" ht="14.25" customHeight="1" x14ac:dyDescent="0.25">
      <c r="A476" s="224">
        <f>SUM(A470+1)</f>
        <v>116</v>
      </c>
      <c r="B476" s="225" t="s">
        <v>206</v>
      </c>
      <c r="C476" s="226">
        <v>415</v>
      </c>
      <c r="D476" s="225" t="s">
        <v>204</v>
      </c>
      <c r="E476" s="454">
        <v>44</v>
      </c>
      <c r="F476" s="252">
        <f>F478+F479+F480+F481+F482+F483</f>
        <v>246.42000000000002</v>
      </c>
      <c r="G476" s="248">
        <v>1978</v>
      </c>
      <c r="H476" s="237">
        <f>SUM(Лист1!G132)</f>
        <v>245894.75</v>
      </c>
      <c r="I476" s="237">
        <f>SUM(Лист1!H132)</f>
        <v>88947.02</v>
      </c>
      <c r="J476" s="237">
        <f>SUM(Лист1!I132)</f>
        <v>131.31</v>
      </c>
      <c r="K476" s="261"/>
      <c r="L476" s="261"/>
      <c r="M476" s="261"/>
      <c r="N476" s="252">
        <v>4250.29</v>
      </c>
      <c r="O476" s="252">
        <v>3736.85</v>
      </c>
      <c r="P476" s="259">
        <v>5.26</v>
      </c>
      <c r="Q476" s="261"/>
      <c r="R476" s="231">
        <f t="shared" ref="R476" si="158">SUM(H476+N476)</f>
        <v>250145.04</v>
      </c>
      <c r="S476" s="231">
        <f>SUM(I476+O476-J476)</f>
        <v>92552.560000000012</v>
      </c>
      <c r="T476" s="443">
        <f>S476-3*U476</f>
        <v>92142.85</v>
      </c>
      <c r="U476" s="445">
        <f t="shared" si="152"/>
        <v>136.57</v>
      </c>
      <c r="V476" s="443">
        <f t="shared" si="153"/>
        <v>158002.19</v>
      </c>
      <c r="W476" s="238">
        <f t="shared" si="64"/>
        <v>157592.47999999998</v>
      </c>
      <c r="X476" s="231">
        <f t="shared" si="136"/>
        <v>92415.99</v>
      </c>
      <c r="Y476" s="231">
        <f t="shared" si="137"/>
        <v>136.57</v>
      </c>
      <c r="Z476" s="232">
        <f t="shared" si="138"/>
        <v>157729.04999999999</v>
      </c>
      <c r="AA476" s="22">
        <f t="shared" si="135"/>
        <v>0</v>
      </c>
      <c r="AB476" s="424">
        <f t="shared" si="139"/>
        <v>6.9917405198793858E-12</v>
      </c>
      <c r="AC476" s="424">
        <f t="shared" si="140"/>
        <v>0</v>
      </c>
    </row>
    <row r="477" spans="1:29" s="269" customFormat="1" ht="14.25" customHeight="1" x14ac:dyDescent="0.25">
      <c r="A477" s="272"/>
      <c r="B477" s="276"/>
      <c r="C477" s="266"/>
      <c r="D477" s="353" t="s">
        <v>518</v>
      </c>
      <c r="E477" s="457"/>
      <c r="F477" s="268"/>
      <c r="G477" s="278"/>
      <c r="H477" s="151"/>
      <c r="I477" s="151"/>
      <c r="J477" s="151"/>
      <c r="N477" s="268"/>
      <c r="O477" s="268"/>
      <c r="P477" s="315"/>
      <c r="R477" s="274"/>
      <c r="S477" s="274"/>
      <c r="T477" s="443"/>
      <c r="U477" s="445"/>
      <c r="V477" s="443"/>
      <c r="W477" s="295"/>
      <c r="X477" s="231">
        <f t="shared" si="136"/>
        <v>0</v>
      </c>
      <c r="Y477" s="231">
        <f t="shared" si="137"/>
        <v>0</v>
      </c>
      <c r="Z477" s="232">
        <f t="shared" si="138"/>
        <v>0</v>
      </c>
      <c r="AA477" s="22">
        <f t="shared" si="135"/>
        <v>0</v>
      </c>
      <c r="AB477" s="424">
        <f t="shared" si="139"/>
        <v>0</v>
      </c>
      <c r="AC477" s="424">
        <f t="shared" si="140"/>
        <v>0</v>
      </c>
    </row>
    <row r="478" spans="1:29" s="269" customFormat="1" ht="14.25" customHeight="1" x14ac:dyDescent="0.25">
      <c r="A478" s="272"/>
      <c r="B478" s="276"/>
      <c r="C478" s="266"/>
      <c r="D478" s="354" t="s">
        <v>536</v>
      </c>
      <c r="E478" s="457"/>
      <c r="F478" s="268">
        <v>30.62</v>
      </c>
      <c r="G478" s="278"/>
      <c r="H478" s="151"/>
      <c r="I478" s="151"/>
      <c r="J478" s="151"/>
      <c r="N478" s="268"/>
      <c r="O478" s="268"/>
      <c r="P478" s="315"/>
      <c r="R478" s="274">
        <f>$R$476/$F$476*F478</f>
        <v>31082.871214998784</v>
      </c>
      <c r="S478" s="274">
        <f>92552.56/246.42*F478</f>
        <v>11500.525067770473</v>
      </c>
      <c r="T478" s="443">
        <f>$T$476/$F$476*F478</f>
        <v>11449.614751237725</v>
      </c>
      <c r="U478" s="445"/>
      <c r="V478" s="443">
        <f t="shared" si="153"/>
        <v>19633.256463761059</v>
      </c>
      <c r="W478" s="295">
        <f>SUM(R478-S478)</f>
        <v>19582.346147228309</v>
      </c>
      <c r="X478" s="231">
        <f t="shared" si="136"/>
        <v>11500.525067770473</v>
      </c>
      <c r="Y478" s="231">
        <f t="shared" si="137"/>
        <v>0</v>
      </c>
      <c r="Z478" s="232">
        <f t="shared" si="138"/>
        <v>19582.346147228309</v>
      </c>
      <c r="AA478" s="22">
        <f t="shared" si="135"/>
        <v>0</v>
      </c>
      <c r="AB478" s="424">
        <f t="shared" si="139"/>
        <v>0</v>
      </c>
      <c r="AC478" s="424">
        <f t="shared" si="140"/>
        <v>0</v>
      </c>
    </row>
    <row r="479" spans="1:29" s="269" customFormat="1" ht="14.25" customHeight="1" x14ac:dyDescent="0.25">
      <c r="A479" s="272"/>
      <c r="B479" s="276"/>
      <c r="C479" s="266"/>
      <c r="D479" s="354" t="s">
        <v>563</v>
      </c>
      <c r="E479" s="457"/>
      <c r="F479" s="268">
        <v>44</v>
      </c>
      <c r="G479" s="278"/>
      <c r="H479" s="151"/>
      <c r="I479" s="151"/>
      <c r="J479" s="151"/>
      <c r="N479" s="268"/>
      <c r="O479" s="268"/>
      <c r="P479" s="315"/>
      <c r="R479" s="274">
        <f t="shared" ref="R479:R483" si="159">$R$476/$F$476*F479</f>
        <v>44665.131726320913</v>
      </c>
      <c r="S479" s="274">
        <f t="shared" ref="S479:S483" si="160">92552.56/246.42*F479</f>
        <v>16525.901469036606</v>
      </c>
      <c r="T479" s="443">
        <f t="shared" ref="T479:T483" si="161">$T$476/$F$476*F479</f>
        <v>16452.744907069231</v>
      </c>
      <c r="U479" s="445"/>
      <c r="V479" s="443">
        <f t="shared" si="153"/>
        <v>28212.386819251682</v>
      </c>
      <c r="W479" s="295">
        <f>SUM(R479-S479)</f>
        <v>28139.230257284307</v>
      </c>
      <c r="X479" s="231">
        <f t="shared" si="136"/>
        <v>16525.901469036606</v>
      </c>
      <c r="Y479" s="231">
        <f t="shared" si="137"/>
        <v>0</v>
      </c>
      <c r="Z479" s="232">
        <f t="shared" si="138"/>
        <v>28139.230257284307</v>
      </c>
      <c r="AA479" s="22">
        <f t="shared" si="135"/>
        <v>0</v>
      </c>
      <c r="AB479" s="424">
        <f t="shared" si="139"/>
        <v>0</v>
      </c>
      <c r="AC479" s="424">
        <f t="shared" si="140"/>
        <v>0</v>
      </c>
    </row>
    <row r="480" spans="1:29" s="269" customFormat="1" ht="14.25" customHeight="1" x14ac:dyDescent="0.25">
      <c r="A480" s="272"/>
      <c r="B480" s="276"/>
      <c r="C480" s="266"/>
      <c r="D480" s="354" t="s">
        <v>582</v>
      </c>
      <c r="E480" s="457"/>
      <c r="F480" s="268">
        <v>47.3</v>
      </c>
      <c r="G480" s="278"/>
      <c r="H480" s="151"/>
      <c r="I480" s="151"/>
      <c r="J480" s="151"/>
      <c r="N480" s="268"/>
      <c r="O480" s="268"/>
      <c r="P480" s="315"/>
      <c r="R480" s="274">
        <f t="shared" si="159"/>
        <v>48015.016605794983</v>
      </c>
      <c r="S480" s="274">
        <f t="shared" si="160"/>
        <v>17765.344079214348</v>
      </c>
      <c r="T480" s="443">
        <f t="shared" si="161"/>
        <v>17686.70077509942</v>
      </c>
      <c r="U480" s="445"/>
      <c r="V480" s="443">
        <f t="shared" si="153"/>
        <v>30328.315830695563</v>
      </c>
      <c r="W480" s="295">
        <f t="shared" ref="W480:W483" si="162">SUM(R480-S480)</f>
        <v>30249.672526580634</v>
      </c>
      <c r="X480" s="231">
        <f t="shared" si="136"/>
        <v>17765.344079214348</v>
      </c>
      <c r="Y480" s="231">
        <f t="shared" si="137"/>
        <v>0</v>
      </c>
      <c r="Z480" s="232">
        <f t="shared" si="138"/>
        <v>30249.672526580634</v>
      </c>
      <c r="AA480" s="22">
        <f t="shared" si="135"/>
        <v>0</v>
      </c>
      <c r="AB480" s="424">
        <f t="shared" si="139"/>
        <v>0</v>
      </c>
      <c r="AC480" s="424">
        <f t="shared" si="140"/>
        <v>0</v>
      </c>
    </row>
    <row r="481" spans="1:29" s="269" customFormat="1" ht="14.25" customHeight="1" x14ac:dyDescent="0.25">
      <c r="A481" s="272"/>
      <c r="B481" s="276"/>
      <c r="C481" s="266"/>
      <c r="D481" s="354" t="s">
        <v>583</v>
      </c>
      <c r="E481" s="457"/>
      <c r="F481" s="268">
        <v>44.6</v>
      </c>
      <c r="G481" s="278"/>
      <c r="H481" s="151"/>
      <c r="I481" s="151"/>
      <c r="J481" s="151"/>
      <c r="N481" s="268"/>
      <c r="O481" s="268"/>
      <c r="P481" s="315"/>
      <c r="R481" s="274">
        <f t="shared" si="159"/>
        <v>45274.201704407111</v>
      </c>
      <c r="S481" s="274">
        <f t="shared" si="160"/>
        <v>16751.254670887105</v>
      </c>
      <c r="T481" s="443">
        <f t="shared" si="161"/>
        <v>16677.100519438358</v>
      </c>
      <c r="U481" s="445"/>
      <c r="V481" s="443">
        <f t="shared" si="153"/>
        <v>28597.101184968753</v>
      </c>
      <c r="W481" s="295">
        <f t="shared" si="162"/>
        <v>28522.947033520006</v>
      </c>
      <c r="X481" s="231">
        <f t="shared" si="136"/>
        <v>16751.254670887105</v>
      </c>
      <c r="Y481" s="231">
        <f t="shared" si="137"/>
        <v>0</v>
      </c>
      <c r="Z481" s="232">
        <f t="shared" si="138"/>
        <v>28522.947033520006</v>
      </c>
      <c r="AA481" s="22">
        <f t="shared" si="135"/>
        <v>0</v>
      </c>
      <c r="AB481" s="424">
        <f t="shared" si="139"/>
        <v>0</v>
      </c>
      <c r="AC481" s="424">
        <f t="shared" si="140"/>
        <v>0</v>
      </c>
    </row>
    <row r="482" spans="1:29" s="269" customFormat="1" ht="14.25" customHeight="1" x14ac:dyDescent="0.25">
      <c r="A482" s="272"/>
      <c r="B482" s="276"/>
      <c r="C482" s="266"/>
      <c r="D482" s="354" t="s">
        <v>584</v>
      </c>
      <c r="E482" s="457"/>
      <c r="F482" s="268">
        <v>61.5</v>
      </c>
      <c r="G482" s="278"/>
      <c r="H482" s="151"/>
      <c r="I482" s="151"/>
      <c r="J482" s="151"/>
      <c r="N482" s="268"/>
      <c r="O482" s="268"/>
      <c r="P482" s="315"/>
      <c r="R482" s="274">
        <f t="shared" si="159"/>
        <v>62429.672753834915</v>
      </c>
      <c r="S482" s="274">
        <f t="shared" si="160"/>
        <v>23098.703189676162</v>
      </c>
      <c r="T482" s="443">
        <f t="shared" si="161"/>
        <v>22996.4502678354</v>
      </c>
      <c r="U482" s="445"/>
      <c r="V482" s="443">
        <f t="shared" si="153"/>
        <v>39433.222485999519</v>
      </c>
      <c r="W482" s="295">
        <f t="shared" si="162"/>
        <v>39330.969564158753</v>
      </c>
      <c r="X482" s="231">
        <f t="shared" si="136"/>
        <v>23098.703189676162</v>
      </c>
      <c r="Y482" s="231">
        <f t="shared" si="137"/>
        <v>0</v>
      </c>
      <c r="Z482" s="232">
        <f t="shared" si="138"/>
        <v>39330.969564158753</v>
      </c>
      <c r="AA482" s="22">
        <f t="shared" si="135"/>
        <v>0</v>
      </c>
      <c r="AB482" s="424">
        <f t="shared" si="139"/>
        <v>0</v>
      </c>
      <c r="AC482" s="424">
        <f t="shared" si="140"/>
        <v>0</v>
      </c>
    </row>
    <row r="483" spans="1:29" s="269" customFormat="1" ht="14.25" customHeight="1" x14ac:dyDescent="0.25">
      <c r="A483" s="272"/>
      <c r="B483" s="276"/>
      <c r="C483" s="266"/>
      <c r="D483" s="354" t="s">
        <v>585</v>
      </c>
      <c r="E483" s="457"/>
      <c r="F483" s="268">
        <v>18.399999999999999</v>
      </c>
      <c r="G483" s="278"/>
      <c r="H483" s="151"/>
      <c r="I483" s="151"/>
      <c r="J483" s="151"/>
      <c r="N483" s="268"/>
      <c r="O483" s="268"/>
      <c r="P483" s="315"/>
      <c r="R483" s="274">
        <f t="shared" si="159"/>
        <v>18678.145994643291</v>
      </c>
      <c r="S483" s="274">
        <f t="shared" si="160"/>
        <v>6910.8315234153069</v>
      </c>
      <c r="T483" s="443">
        <f t="shared" si="161"/>
        <v>6880.2387793198595</v>
      </c>
      <c r="U483" s="445"/>
      <c r="V483" s="443">
        <f t="shared" si="153"/>
        <v>11797.907215323432</v>
      </c>
      <c r="W483" s="295">
        <f t="shared" si="162"/>
        <v>11767.314471227985</v>
      </c>
      <c r="X483" s="231">
        <f t="shared" si="136"/>
        <v>6910.8315234153069</v>
      </c>
      <c r="Y483" s="231">
        <f t="shared" si="137"/>
        <v>0</v>
      </c>
      <c r="Z483" s="232">
        <f t="shared" si="138"/>
        <v>11767.314471227985</v>
      </c>
      <c r="AA483" s="22">
        <f t="shared" si="135"/>
        <v>0</v>
      </c>
      <c r="AB483" s="424">
        <f t="shared" si="139"/>
        <v>0</v>
      </c>
      <c r="AC483" s="424">
        <f t="shared" si="140"/>
        <v>0</v>
      </c>
    </row>
    <row r="484" spans="1:29" s="149" customFormat="1" ht="14.25" customHeight="1" x14ac:dyDescent="0.25">
      <c r="A484" s="152"/>
      <c r="B484" s="143"/>
      <c r="C484" s="154"/>
      <c r="D484" s="373"/>
      <c r="E484" s="170"/>
      <c r="F484" s="158"/>
      <c r="G484" s="142"/>
      <c r="H484" s="157"/>
      <c r="I484" s="157"/>
      <c r="J484" s="157"/>
      <c r="K484" s="171"/>
      <c r="L484" s="171"/>
      <c r="M484" s="171"/>
      <c r="N484" s="158"/>
      <c r="O484" s="158"/>
      <c r="P484" s="159"/>
      <c r="Q484" s="171"/>
      <c r="R484" s="213"/>
      <c r="S484" s="213"/>
      <c r="T484" s="443"/>
      <c r="U484" s="445"/>
      <c r="V484" s="443"/>
      <c r="W484" s="214"/>
      <c r="X484" s="231">
        <f t="shared" si="136"/>
        <v>0</v>
      </c>
      <c r="Y484" s="231">
        <f t="shared" si="137"/>
        <v>0</v>
      </c>
      <c r="Z484" s="232">
        <f t="shared" si="138"/>
        <v>0</v>
      </c>
      <c r="AA484" s="22">
        <f t="shared" si="135"/>
        <v>0</v>
      </c>
      <c r="AB484" s="424">
        <f t="shared" si="139"/>
        <v>0</v>
      </c>
      <c r="AC484" s="424">
        <f t="shared" si="140"/>
        <v>0</v>
      </c>
    </row>
    <row r="485" spans="1:29" s="257" customFormat="1" ht="14.25" customHeight="1" x14ac:dyDescent="0.25">
      <c r="A485" s="224">
        <f>SUM(A476+1)</f>
        <v>117</v>
      </c>
      <c r="B485" s="225" t="s">
        <v>207</v>
      </c>
      <c r="C485" s="226">
        <v>416</v>
      </c>
      <c r="D485" s="225" t="s">
        <v>204</v>
      </c>
      <c r="E485" s="454">
        <v>36</v>
      </c>
      <c r="F485" s="252">
        <v>124.62</v>
      </c>
      <c r="G485" s="248">
        <v>1979</v>
      </c>
      <c r="H485" s="237">
        <f>SUM(Лист1!G133)</f>
        <v>173569.23</v>
      </c>
      <c r="I485" s="237">
        <f>SUM(Лист1!H133)</f>
        <v>64514.69</v>
      </c>
      <c r="J485" s="237">
        <f>SUM(Лист1!I133)</f>
        <v>91.89</v>
      </c>
      <c r="K485" s="261"/>
      <c r="L485" s="261"/>
      <c r="M485" s="261"/>
      <c r="N485" s="252">
        <v>2117.83</v>
      </c>
      <c r="O485" s="252">
        <v>1894.68</v>
      </c>
      <c r="P485" s="259">
        <v>2.6</v>
      </c>
      <c r="Q485" s="261"/>
      <c r="R485" s="231">
        <f t="shared" ref="R485" si="163">SUM(H485+N485)</f>
        <v>175687.06</v>
      </c>
      <c r="S485" s="231">
        <f>SUM(I485+O485-J485)</f>
        <v>66317.48</v>
      </c>
      <c r="T485" s="443">
        <f>S485-3*U485</f>
        <v>66034.009999999995</v>
      </c>
      <c r="U485" s="445">
        <f t="shared" si="152"/>
        <v>94.49</v>
      </c>
      <c r="V485" s="443">
        <f t="shared" si="153"/>
        <v>109653.05</v>
      </c>
      <c r="W485" s="238">
        <f t="shared" si="64"/>
        <v>109369.58</v>
      </c>
      <c r="X485" s="231">
        <f t="shared" si="136"/>
        <v>66222.989999999991</v>
      </c>
      <c r="Y485" s="231">
        <f t="shared" si="137"/>
        <v>94.49</v>
      </c>
      <c r="Z485" s="232">
        <f t="shared" si="138"/>
        <v>109464.07</v>
      </c>
      <c r="AA485" s="22">
        <f t="shared" si="135"/>
        <v>0</v>
      </c>
      <c r="AB485" s="424">
        <f t="shared" si="139"/>
        <v>5.2438053899095394E-12</v>
      </c>
      <c r="AC485" s="424">
        <f t="shared" si="140"/>
        <v>0</v>
      </c>
    </row>
    <row r="486" spans="1:29" s="149" customFormat="1" ht="14.25" customHeight="1" x14ac:dyDescent="0.25">
      <c r="A486" s="163"/>
      <c r="B486" s="167"/>
      <c r="C486" s="146"/>
      <c r="D486" s="357" t="s">
        <v>518</v>
      </c>
      <c r="E486" s="169"/>
      <c r="F486" s="139"/>
      <c r="G486" s="249"/>
      <c r="H486" s="148"/>
      <c r="I486" s="148"/>
      <c r="J486" s="148"/>
      <c r="N486" s="139"/>
      <c r="O486" s="139"/>
      <c r="P486" s="140"/>
      <c r="R486" s="211"/>
      <c r="S486" s="211"/>
      <c r="T486" s="443"/>
      <c r="U486" s="445"/>
      <c r="V486" s="443"/>
      <c r="W486" s="212"/>
      <c r="X486" s="231">
        <f t="shared" si="136"/>
        <v>0</v>
      </c>
      <c r="Y486" s="231">
        <f t="shared" si="137"/>
        <v>0</v>
      </c>
      <c r="Z486" s="232">
        <f t="shared" si="138"/>
        <v>0</v>
      </c>
      <c r="AA486" s="22">
        <f t="shared" si="135"/>
        <v>0</v>
      </c>
      <c r="AB486" s="424">
        <f t="shared" si="139"/>
        <v>0</v>
      </c>
      <c r="AC486" s="424">
        <f t="shared" si="140"/>
        <v>0</v>
      </c>
    </row>
    <row r="487" spans="1:29" s="149" customFormat="1" ht="14.25" customHeight="1" x14ac:dyDescent="0.25">
      <c r="A487" s="163"/>
      <c r="B487" s="167"/>
      <c r="C487" s="146"/>
      <c r="D487" s="358" t="s">
        <v>548</v>
      </c>
      <c r="E487" s="169"/>
      <c r="F487" s="139">
        <v>48.1</v>
      </c>
      <c r="G487" s="249"/>
      <c r="H487" s="148"/>
      <c r="I487" s="148"/>
      <c r="J487" s="148"/>
      <c r="N487" s="139"/>
      <c r="O487" s="139"/>
      <c r="P487" s="140"/>
      <c r="R487" s="211">
        <f>$R$485/$F$485*F487</f>
        <v>67810.524683036434</v>
      </c>
      <c r="S487" s="211">
        <f>66317.48/124.62*F487</f>
        <v>25596.780516770981</v>
      </c>
      <c r="T487" s="443">
        <f>$T$485/$F$485*F487</f>
        <v>25487.368648692023</v>
      </c>
      <c r="U487" s="445"/>
      <c r="V487" s="443">
        <f t="shared" si="153"/>
        <v>42323.156034344414</v>
      </c>
      <c r="W487" s="212">
        <f>SUM(R487-S487)</f>
        <v>42213.744166265453</v>
      </c>
      <c r="X487" s="231">
        <f t="shared" si="136"/>
        <v>25596.780516770981</v>
      </c>
      <c r="Y487" s="231">
        <f t="shared" si="137"/>
        <v>0</v>
      </c>
      <c r="Z487" s="232">
        <f t="shared" si="138"/>
        <v>42213.744166265453</v>
      </c>
      <c r="AA487" s="22">
        <f t="shared" si="135"/>
        <v>0</v>
      </c>
      <c r="AB487" s="424">
        <f t="shared" si="139"/>
        <v>0</v>
      </c>
      <c r="AC487" s="424">
        <f t="shared" si="140"/>
        <v>0</v>
      </c>
    </row>
    <row r="488" spans="1:29" s="149" customFormat="1" ht="14.25" customHeight="1" x14ac:dyDescent="0.25">
      <c r="A488" s="163"/>
      <c r="B488" s="167"/>
      <c r="C488" s="146"/>
      <c r="D488" s="358" t="s">
        <v>586</v>
      </c>
      <c r="E488" s="169"/>
      <c r="F488" s="139">
        <v>42.4</v>
      </c>
      <c r="G488" s="249"/>
      <c r="H488" s="148"/>
      <c r="I488" s="148"/>
      <c r="J488" s="148"/>
      <c r="N488" s="139"/>
      <c r="O488" s="139"/>
      <c r="P488" s="140"/>
      <c r="R488" s="211">
        <f t="shared" ref="R488:R489" si="164">$R$485/$F$485*F488</f>
        <v>59774.766040763912</v>
      </c>
      <c r="S488" s="211">
        <f t="shared" ref="S488:S489" si="165">66317.48/124.62*F488</f>
        <v>22563.482201893756</v>
      </c>
      <c r="T488" s="443">
        <f t="shared" ref="T488:T489" si="166">$T$485/$F$485*F488</f>
        <v>22467.035981383404</v>
      </c>
      <c r="U488" s="445"/>
      <c r="V488" s="443">
        <f t="shared" si="153"/>
        <v>37307.730059380512</v>
      </c>
      <c r="W488" s="212">
        <f t="shared" ref="W488:W489" si="167">SUM(R488-S488)</f>
        <v>37211.283838870157</v>
      </c>
      <c r="X488" s="231">
        <f t="shared" si="136"/>
        <v>22563.482201893756</v>
      </c>
      <c r="Y488" s="231">
        <f t="shared" si="137"/>
        <v>0</v>
      </c>
      <c r="Z488" s="232">
        <f t="shared" si="138"/>
        <v>37211.283838870157</v>
      </c>
      <c r="AA488" s="22">
        <f t="shared" si="135"/>
        <v>0</v>
      </c>
      <c r="AB488" s="424">
        <f t="shared" si="139"/>
        <v>0</v>
      </c>
      <c r="AC488" s="424">
        <f t="shared" si="140"/>
        <v>0</v>
      </c>
    </row>
    <row r="489" spans="1:29" s="149" customFormat="1" ht="14.25" customHeight="1" x14ac:dyDescent="0.25">
      <c r="A489" s="163"/>
      <c r="B489" s="167"/>
      <c r="C489" s="146"/>
      <c r="D489" s="358" t="s">
        <v>587</v>
      </c>
      <c r="E489" s="169"/>
      <c r="F489" s="139">
        <v>34.119999999999997</v>
      </c>
      <c r="G489" s="249"/>
      <c r="H489" s="148"/>
      <c r="I489" s="148"/>
      <c r="J489" s="148"/>
      <c r="N489" s="139"/>
      <c r="O489" s="139"/>
      <c r="P489" s="140"/>
      <c r="R489" s="211">
        <f t="shared" si="164"/>
        <v>48101.769276199637</v>
      </c>
      <c r="S489" s="211">
        <f t="shared" si="165"/>
        <v>18157.217281335255</v>
      </c>
      <c r="T489" s="443">
        <f t="shared" si="166"/>
        <v>18079.605369924568</v>
      </c>
      <c r="U489" s="445"/>
      <c r="V489" s="443">
        <f t="shared" si="153"/>
        <v>30022.163906275069</v>
      </c>
      <c r="W489" s="212">
        <f t="shared" si="167"/>
        <v>29944.551994864381</v>
      </c>
      <c r="X489" s="231">
        <f t="shared" si="136"/>
        <v>18157.217281335255</v>
      </c>
      <c r="Y489" s="231">
        <f t="shared" si="137"/>
        <v>0</v>
      </c>
      <c r="Z489" s="232">
        <f t="shared" si="138"/>
        <v>29944.551994864381</v>
      </c>
      <c r="AA489" s="22">
        <f t="shared" si="135"/>
        <v>0</v>
      </c>
      <c r="AB489" s="424">
        <f t="shared" si="139"/>
        <v>0</v>
      </c>
      <c r="AC489" s="424">
        <f t="shared" si="140"/>
        <v>0</v>
      </c>
    </row>
    <row r="490" spans="1:29" s="149" customFormat="1" ht="14.25" customHeight="1" x14ac:dyDescent="0.25">
      <c r="A490" s="152"/>
      <c r="B490" s="143"/>
      <c r="C490" s="154"/>
      <c r="D490" s="143"/>
      <c r="E490" s="170"/>
      <c r="F490" s="158"/>
      <c r="G490" s="142"/>
      <c r="H490" s="157"/>
      <c r="I490" s="157"/>
      <c r="J490" s="157"/>
      <c r="K490" s="171"/>
      <c r="L490" s="171"/>
      <c r="M490" s="171"/>
      <c r="N490" s="158"/>
      <c r="O490" s="158"/>
      <c r="P490" s="159"/>
      <c r="Q490" s="171"/>
      <c r="R490" s="213"/>
      <c r="S490" s="213"/>
      <c r="T490" s="443"/>
      <c r="U490" s="445"/>
      <c r="V490" s="443"/>
      <c r="W490" s="214"/>
      <c r="X490" s="231">
        <f t="shared" si="136"/>
        <v>0</v>
      </c>
      <c r="Y490" s="231">
        <f t="shared" si="137"/>
        <v>0</v>
      </c>
      <c r="Z490" s="232">
        <f t="shared" si="138"/>
        <v>0</v>
      </c>
      <c r="AA490" s="22">
        <f t="shared" si="135"/>
        <v>0</v>
      </c>
      <c r="AB490" s="424">
        <f t="shared" si="139"/>
        <v>0</v>
      </c>
      <c r="AC490" s="424">
        <f t="shared" si="140"/>
        <v>0</v>
      </c>
    </row>
    <row r="491" spans="1:29" s="257" customFormat="1" ht="14.25" customHeight="1" x14ac:dyDescent="0.25">
      <c r="A491" s="224">
        <f>SUM(A485+1)</f>
        <v>118</v>
      </c>
      <c r="B491" s="225" t="s">
        <v>208</v>
      </c>
      <c r="C491" s="226">
        <v>417</v>
      </c>
      <c r="D491" s="225" t="s">
        <v>204</v>
      </c>
      <c r="E491" s="454">
        <v>38</v>
      </c>
      <c r="F491" s="245">
        <f>F492</f>
        <v>58</v>
      </c>
      <c r="G491" s="258">
        <v>1982</v>
      </c>
      <c r="H491" s="237">
        <f>SUM(Лист1!G134)</f>
        <v>180429.96</v>
      </c>
      <c r="I491" s="237">
        <f>SUM(Лист1!H134)</f>
        <v>6268.08</v>
      </c>
      <c r="J491" s="237">
        <f>SUM(Лист1!I134)</f>
        <v>100.98</v>
      </c>
      <c r="K491" s="261"/>
      <c r="L491" s="261"/>
      <c r="M491" s="261"/>
      <c r="N491" s="259">
        <v>310.5</v>
      </c>
      <c r="O491" s="259">
        <v>280.18</v>
      </c>
      <c r="P491" s="259">
        <v>0.36</v>
      </c>
      <c r="Q491" s="261"/>
      <c r="R491" s="231">
        <f t="shared" ref="R491" si="168">SUM(H491+N491)</f>
        <v>180740.46</v>
      </c>
      <c r="S491" s="231">
        <f>SUM(I491+O491-J491)</f>
        <v>6447.2800000000007</v>
      </c>
      <c r="T491" s="443">
        <f>S491-3*U491</f>
        <v>6143.26</v>
      </c>
      <c r="U491" s="445">
        <f t="shared" si="152"/>
        <v>101.34</v>
      </c>
      <c r="V491" s="443">
        <f t="shared" si="153"/>
        <v>174597.19999999998</v>
      </c>
      <c r="W491" s="238">
        <f t="shared" si="64"/>
        <v>174293.18</v>
      </c>
      <c r="X491" s="231">
        <f t="shared" si="136"/>
        <v>6345.9400000000005</v>
      </c>
      <c r="Y491" s="231">
        <f t="shared" si="137"/>
        <v>101.34</v>
      </c>
      <c r="Z491" s="232">
        <f t="shared" si="138"/>
        <v>174394.52</v>
      </c>
      <c r="AA491" s="22">
        <f t="shared" si="135"/>
        <v>0</v>
      </c>
      <c r="AB491" s="424">
        <f t="shared" si="139"/>
        <v>1.4210854715202004E-13</v>
      </c>
      <c r="AC491" s="424">
        <f t="shared" si="140"/>
        <v>0</v>
      </c>
    </row>
    <row r="492" spans="1:29" s="269" customFormat="1" ht="14.25" customHeight="1" x14ac:dyDescent="0.25">
      <c r="A492" s="272"/>
      <c r="B492" s="276"/>
      <c r="C492" s="266"/>
      <c r="D492" s="353" t="s">
        <v>499</v>
      </c>
      <c r="E492" s="457"/>
      <c r="F492" s="277">
        <v>58</v>
      </c>
      <c r="G492" s="265"/>
      <c r="H492" s="151"/>
      <c r="I492" s="151"/>
      <c r="J492" s="151"/>
      <c r="N492" s="315"/>
      <c r="O492" s="315"/>
      <c r="P492" s="315"/>
      <c r="R492" s="274"/>
      <c r="S492" s="274"/>
      <c r="T492" s="443"/>
      <c r="U492" s="445"/>
      <c r="V492" s="443"/>
      <c r="W492" s="295"/>
      <c r="X492" s="231">
        <f t="shared" si="136"/>
        <v>0</v>
      </c>
      <c r="Y492" s="231">
        <f t="shared" si="137"/>
        <v>0</v>
      </c>
      <c r="Z492" s="232">
        <f t="shared" si="138"/>
        <v>0</v>
      </c>
      <c r="AA492" s="22">
        <f t="shared" si="135"/>
        <v>0</v>
      </c>
      <c r="AB492" s="424">
        <f t="shared" si="139"/>
        <v>0</v>
      </c>
      <c r="AC492" s="424">
        <f t="shared" si="140"/>
        <v>0</v>
      </c>
    </row>
    <row r="493" spans="1:29" s="149" customFormat="1" ht="14.25" customHeight="1" x14ac:dyDescent="0.25">
      <c r="A493" s="152"/>
      <c r="B493" s="143"/>
      <c r="C493" s="154"/>
      <c r="D493" s="143"/>
      <c r="E493" s="170"/>
      <c r="F493" s="206"/>
      <c r="G493" s="156"/>
      <c r="H493" s="157"/>
      <c r="I493" s="157"/>
      <c r="J493" s="157"/>
      <c r="K493" s="171"/>
      <c r="L493" s="171"/>
      <c r="M493" s="171"/>
      <c r="N493" s="159"/>
      <c r="O493" s="159"/>
      <c r="P493" s="159"/>
      <c r="Q493" s="171"/>
      <c r="R493" s="213"/>
      <c r="S493" s="213"/>
      <c r="T493" s="443"/>
      <c r="U493" s="445"/>
      <c r="V493" s="443"/>
      <c r="W493" s="214"/>
      <c r="X493" s="231">
        <f t="shared" si="136"/>
        <v>0</v>
      </c>
      <c r="Y493" s="231">
        <f t="shared" si="137"/>
        <v>0</v>
      </c>
      <c r="Z493" s="232">
        <f t="shared" si="138"/>
        <v>0</v>
      </c>
      <c r="AA493" s="22">
        <f t="shared" si="135"/>
        <v>0</v>
      </c>
      <c r="AB493" s="424">
        <f t="shared" si="139"/>
        <v>0</v>
      </c>
      <c r="AC493" s="424">
        <f t="shared" si="140"/>
        <v>0</v>
      </c>
    </row>
    <row r="494" spans="1:29" s="287" customFormat="1" ht="14.25" customHeight="1" x14ac:dyDescent="0.25">
      <c r="A494" s="313">
        <f>SUM(A491+1)</f>
        <v>119</v>
      </c>
      <c r="B494" s="307" t="s">
        <v>209</v>
      </c>
      <c r="C494" s="348">
        <v>423</v>
      </c>
      <c r="D494" s="307" t="s">
        <v>204</v>
      </c>
      <c r="E494" s="465" t="s">
        <v>210</v>
      </c>
      <c r="F494" s="308">
        <f>F496+F497+F498</f>
        <v>136.9</v>
      </c>
      <c r="G494" s="339">
        <v>1893</v>
      </c>
      <c r="H494" s="310">
        <f>SUM(Лист1!G135)</f>
        <v>293122.99</v>
      </c>
      <c r="I494" s="310">
        <f>SUM(Лист1!H135)</f>
        <v>23136.99</v>
      </c>
      <c r="J494" s="310">
        <f>SUM(Лист1!I135)</f>
        <v>150.07</v>
      </c>
      <c r="K494" s="311"/>
      <c r="L494" s="311"/>
      <c r="M494" s="311"/>
      <c r="N494" s="311"/>
      <c r="O494" s="311"/>
      <c r="P494" s="311"/>
      <c r="Q494" s="311"/>
      <c r="R494" s="231">
        <f t="shared" ref="R494" si="169">SUM(H494+N494)</f>
        <v>293122.99</v>
      </c>
      <c r="S494" s="231">
        <f>SUM(I494+O494-J494)</f>
        <v>22986.920000000002</v>
      </c>
      <c r="T494" s="443">
        <f>S494-3*U494</f>
        <v>22536.710000000003</v>
      </c>
      <c r="U494" s="445">
        <f t="shared" si="152"/>
        <v>150.07</v>
      </c>
      <c r="V494" s="443">
        <f t="shared" si="153"/>
        <v>270586.27999999997</v>
      </c>
      <c r="W494" s="312">
        <f t="shared" si="64"/>
        <v>270136.07</v>
      </c>
      <c r="X494" s="231">
        <f t="shared" si="136"/>
        <v>22836.850000000002</v>
      </c>
      <c r="Y494" s="231">
        <f t="shared" si="137"/>
        <v>150.07</v>
      </c>
      <c r="Z494" s="232">
        <f t="shared" si="138"/>
        <v>270286.14</v>
      </c>
      <c r="AA494" s="22">
        <f t="shared" si="135"/>
        <v>0</v>
      </c>
      <c r="AB494" s="424">
        <f t="shared" si="139"/>
        <v>-2.8421709430404007E-13</v>
      </c>
      <c r="AC494" s="424">
        <f t="shared" si="140"/>
        <v>0</v>
      </c>
    </row>
    <row r="495" spans="1:29" s="269" customFormat="1" ht="14.25" customHeight="1" x14ac:dyDescent="0.25">
      <c r="A495" s="272"/>
      <c r="B495" s="276"/>
      <c r="C495" s="266"/>
      <c r="D495" s="353" t="s">
        <v>518</v>
      </c>
      <c r="E495" s="473"/>
      <c r="F495" s="268"/>
      <c r="G495" s="278"/>
      <c r="H495" s="151"/>
      <c r="I495" s="151"/>
      <c r="J495" s="151"/>
      <c r="R495" s="274"/>
      <c r="S495" s="274"/>
      <c r="T495" s="443"/>
      <c r="U495" s="445"/>
      <c r="V495" s="443"/>
      <c r="W495" s="295"/>
      <c r="X495" s="231">
        <f t="shared" si="136"/>
        <v>0</v>
      </c>
      <c r="Y495" s="231">
        <f t="shared" si="137"/>
        <v>0</v>
      </c>
      <c r="Z495" s="232">
        <f t="shared" si="138"/>
        <v>0</v>
      </c>
      <c r="AA495" s="22">
        <f t="shared" si="135"/>
        <v>0</v>
      </c>
      <c r="AB495" s="424">
        <f t="shared" si="139"/>
        <v>0</v>
      </c>
      <c r="AC495" s="424">
        <f t="shared" si="140"/>
        <v>0</v>
      </c>
    </row>
    <row r="496" spans="1:29" s="269" customFormat="1" ht="14.25" customHeight="1" x14ac:dyDescent="0.25">
      <c r="A496" s="272"/>
      <c r="B496" s="276"/>
      <c r="C496" s="266"/>
      <c r="D496" s="354" t="s">
        <v>531</v>
      </c>
      <c r="E496" s="473"/>
      <c r="F496" s="268">
        <v>56</v>
      </c>
      <c r="G496" s="278"/>
      <c r="H496" s="151"/>
      <c r="I496" s="151"/>
      <c r="J496" s="151"/>
      <c r="R496" s="274">
        <f>$R$494/$F$494*F496</f>
        <v>119904.21796932067</v>
      </c>
      <c r="S496" s="274">
        <f>23986.92/136.9*F496</f>
        <v>9812.034477720963</v>
      </c>
      <c r="T496" s="443">
        <f>$T$494/$F$494*F496</f>
        <v>9218.8149013878756</v>
      </c>
      <c r="U496" s="445"/>
      <c r="V496" s="443">
        <f t="shared" si="153"/>
        <v>110685.4030679328</v>
      </c>
      <c r="W496" s="295">
        <f>SUM(R496-S496)</f>
        <v>110092.1834915997</v>
      </c>
      <c r="X496" s="231">
        <f t="shared" si="136"/>
        <v>9812.034477720963</v>
      </c>
      <c r="Y496" s="231">
        <f t="shared" si="137"/>
        <v>0</v>
      </c>
      <c r="Z496" s="232">
        <f t="shared" si="138"/>
        <v>110092.1834915997</v>
      </c>
      <c r="AA496" s="22">
        <f t="shared" si="135"/>
        <v>0</v>
      </c>
      <c r="AB496" s="424">
        <f t="shared" si="139"/>
        <v>0</v>
      </c>
      <c r="AC496" s="424">
        <f t="shared" si="140"/>
        <v>0</v>
      </c>
    </row>
    <row r="497" spans="1:29" s="269" customFormat="1" ht="14.25" customHeight="1" x14ac:dyDescent="0.25">
      <c r="A497" s="272"/>
      <c r="B497" s="276"/>
      <c r="C497" s="266"/>
      <c r="D497" s="354" t="s">
        <v>523</v>
      </c>
      <c r="E497" s="473"/>
      <c r="F497" s="268">
        <v>49.7</v>
      </c>
      <c r="G497" s="278"/>
      <c r="H497" s="151"/>
      <c r="I497" s="151"/>
      <c r="J497" s="151"/>
      <c r="R497" s="274">
        <f t="shared" ref="R497:R498" si="170">$R$494/$F$494*F497</f>
        <v>106414.9934477721</v>
      </c>
      <c r="S497" s="274">
        <f t="shared" ref="S497:S498" si="171">23986.92/136.9*F497</f>
        <v>8708.1805989773547</v>
      </c>
      <c r="T497" s="443">
        <f t="shared" ref="T497:T498" si="172">$T$494/$F$494*F497</f>
        <v>8181.6982249817402</v>
      </c>
      <c r="U497" s="445"/>
      <c r="V497" s="443">
        <f t="shared" si="153"/>
        <v>98233.295222790359</v>
      </c>
      <c r="W497" s="295">
        <f t="shared" ref="W497:W498" si="173">SUM(R497-S497)</f>
        <v>97706.81284879474</v>
      </c>
      <c r="X497" s="231">
        <f t="shared" si="136"/>
        <v>8708.1805989773547</v>
      </c>
      <c r="Y497" s="231">
        <f t="shared" si="137"/>
        <v>0</v>
      </c>
      <c r="Z497" s="232">
        <f t="shared" si="138"/>
        <v>97706.81284879474</v>
      </c>
      <c r="AA497" s="22">
        <f t="shared" ref="AA497:AA557" si="174">SUM(U497-Y497)</f>
        <v>0</v>
      </c>
      <c r="AB497" s="424">
        <f t="shared" si="139"/>
        <v>0</v>
      </c>
      <c r="AC497" s="424">
        <f t="shared" si="140"/>
        <v>0</v>
      </c>
    </row>
    <row r="498" spans="1:29" s="269" customFormat="1" ht="14.25" customHeight="1" x14ac:dyDescent="0.25">
      <c r="A498" s="272"/>
      <c r="B498" s="276"/>
      <c r="C498" s="266"/>
      <c r="D498" s="354" t="s">
        <v>567</v>
      </c>
      <c r="E498" s="473"/>
      <c r="F498" s="268">
        <v>31.2</v>
      </c>
      <c r="G498" s="278"/>
      <c r="H498" s="151"/>
      <c r="I498" s="151"/>
      <c r="J498" s="151"/>
      <c r="R498" s="274">
        <f t="shared" si="170"/>
        <v>66803.778582907224</v>
      </c>
      <c r="S498" s="274">
        <f t="shared" si="171"/>
        <v>5466.7049233016787</v>
      </c>
      <c r="T498" s="443">
        <f t="shared" si="172"/>
        <v>5136.1968736303879</v>
      </c>
      <c r="U498" s="445"/>
      <c r="V498" s="443">
        <f t="shared" si="153"/>
        <v>61667.581709276834</v>
      </c>
      <c r="W498" s="295">
        <f t="shared" si="173"/>
        <v>61337.073659605543</v>
      </c>
      <c r="X498" s="231">
        <f t="shared" ref="X498:X558" si="175">SUM(S498-U498)</f>
        <v>5466.7049233016787</v>
      </c>
      <c r="Y498" s="231">
        <f t="shared" ref="Y498:Y558" si="176">SUM(U498)</f>
        <v>0</v>
      </c>
      <c r="Z498" s="232">
        <f t="shared" ref="Z498:Z558" si="177">SUM(U498+W498)</f>
        <v>61337.073659605543</v>
      </c>
      <c r="AA498" s="22">
        <f t="shared" si="174"/>
        <v>0</v>
      </c>
      <c r="AB498" s="424">
        <f t="shared" ref="AB498:AB558" si="178">SUM(S498-X498-U498)</f>
        <v>0</v>
      </c>
      <c r="AC498" s="424">
        <f t="shared" ref="AC498:AC558" si="179">SUM(R498-X498-Z498)</f>
        <v>0</v>
      </c>
    </row>
    <row r="499" spans="1:29" s="149" customFormat="1" ht="14.25" customHeight="1" x14ac:dyDescent="0.25">
      <c r="A499" s="152"/>
      <c r="B499" s="143"/>
      <c r="C499" s="154"/>
      <c r="D499" s="143"/>
      <c r="E499" s="166"/>
      <c r="F499" s="158"/>
      <c r="G499" s="142"/>
      <c r="H499" s="157"/>
      <c r="I499" s="157"/>
      <c r="J499" s="157"/>
      <c r="K499" s="171"/>
      <c r="L499" s="171"/>
      <c r="M499" s="171"/>
      <c r="N499" s="171"/>
      <c r="O499" s="171"/>
      <c r="P499" s="171"/>
      <c r="Q499" s="171"/>
      <c r="R499" s="213"/>
      <c r="S499" s="213"/>
      <c r="T499" s="443"/>
      <c r="U499" s="445"/>
      <c r="V499" s="443"/>
      <c r="W499" s="214"/>
      <c r="X499" s="231">
        <f t="shared" si="175"/>
        <v>0</v>
      </c>
      <c r="Y499" s="231">
        <f t="shared" si="176"/>
        <v>0</v>
      </c>
      <c r="Z499" s="232">
        <f t="shared" si="177"/>
        <v>0</v>
      </c>
      <c r="AA499" s="22">
        <f t="shared" si="174"/>
        <v>0</v>
      </c>
      <c r="AB499" s="424">
        <f t="shared" si="178"/>
        <v>0</v>
      </c>
      <c r="AC499" s="424">
        <f t="shared" si="179"/>
        <v>0</v>
      </c>
    </row>
    <row r="500" spans="1:29" s="257" customFormat="1" ht="14.25" customHeight="1" x14ac:dyDescent="0.25">
      <c r="A500" s="224">
        <f t="shared" ref="A500" si="180">SUM(A494+1)</f>
        <v>120</v>
      </c>
      <c r="B500" s="225" t="s">
        <v>211</v>
      </c>
      <c r="C500" s="226">
        <v>430</v>
      </c>
      <c r="D500" s="225" t="s">
        <v>212</v>
      </c>
      <c r="E500" s="454">
        <v>5</v>
      </c>
      <c r="F500" s="245">
        <v>118.78</v>
      </c>
      <c r="G500" s="258">
        <v>1961</v>
      </c>
      <c r="H500" s="237">
        <f>SUM(Лист1!G136)</f>
        <v>244086.56</v>
      </c>
      <c r="I500" s="237">
        <f>SUM(Лист1!H136)</f>
        <v>67681.52</v>
      </c>
      <c r="J500" s="237">
        <f>SUM(Лист1!I136)</f>
        <v>132.71</v>
      </c>
      <c r="K500" s="261"/>
      <c r="L500" s="261"/>
      <c r="M500" s="261"/>
      <c r="N500" s="261"/>
      <c r="O500" s="261"/>
      <c r="P500" s="261"/>
      <c r="Q500" s="261"/>
      <c r="R500" s="231">
        <f t="shared" si="73"/>
        <v>244086.56</v>
      </c>
      <c r="S500" s="231">
        <f>SUM(I500+O500-J500)</f>
        <v>67548.81</v>
      </c>
      <c r="T500" s="443">
        <f>S500-3*U500</f>
        <v>67150.679999999993</v>
      </c>
      <c r="U500" s="445">
        <f t="shared" si="152"/>
        <v>132.71</v>
      </c>
      <c r="V500" s="443">
        <f t="shared" si="153"/>
        <v>176935.88</v>
      </c>
      <c r="W500" s="231">
        <f t="shared" ref="W500:W695" si="181">SUM(R500-S500)</f>
        <v>176537.75</v>
      </c>
      <c r="X500" s="231">
        <f t="shared" si="175"/>
        <v>67416.099999999991</v>
      </c>
      <c r="Y500" s="231">
        <f t="shared" si="176"/>
        <v>132.71</v>
      </c>
      <c r="Z500" s="232">
        <f t="shared" si="177"/>
        <v>176670.46</v>
      </c>
      <c r="AA500" s="22">
        <f t="shared" si="174"/>
        <v>0</v>
      </c>
      <c r="AB500" s="424">
        <f t="shared" si="178"/>
        <v>6.3948846218409017E-12</v>
      </c>
      <c r="AC500" s="424">
        <f t="shared" si="179"/>
        <v>2.9103830456733704E-11</v>
      </c>
    </row>
    <row r="501" spans="1:29" s="149" customFormat="1" ht="14.25" customHeight="1" x14ac:dyDescent="0.25">
      <c r="A501" s="163"/>
      <c r="B501" s="167"/>
      <c r="C501" s="146"/>
      <c r="D501" s="357" t="s">
        <v>518</v>
      </c>
      <c r="E501" s="169"/>
      <c r="F501" s="205"/>
      <c r="G501" s="144"/>
      <c r="H501" s="148"/>
      <c r="I501" s="148"/>
      <c r="J501" s="148"/>
      <c r="R501" s="211"/>
      <c r="S501" s="211"/>
      <c r="T501" s="443"/>
      <c r="U501" s="445"/>
      <c r="V501" s="443"/>
      <c r="W501" s="211"/>
      <c r="X501" s="231">
        <f t="shared" si="175"/>
        <v>0</v>
      </c>
      <c r="Y501" s="231">
        <f t="shared" si="176"/>
        <v>0</v>
      </c>
      <c r="Z501" s="232">
        <f t="shared" si="177"/>
        <v>0</v>
      </c>
      <c r="AA501" s="22">
        <f t="shared" si="174"/>
        <v>0</v>
      </c>
      <c r="AB501" s="424">
        <f t="shared" si="178"/>
        <v>0</v>
      </c>
      <c r="AC501" s="424">
        <f t="shared" si="179"/>
        <v>0</v>
      </c>
    </row>
    <row r="502" spans="1:29" s="149" customFormat="1" ht="14.25" customHeight="1" x14ac:dyDescent="0.25">
      <c r="A502" s="163"/>
      <c r="B502" s="167"/>
      <c r="C502" s="146"/>
      <c r="D502" s="358" t="s">
        <v>566</v>
      </c>
      <c r="E502" s="169"/>
      <c r="F502" s="205">
        <v>43</v>
      </c>
      <c r="G502" s="144"/>
      <c r="H502" s="148"/>
      <c r="I502" s="148"/>
      <c r="J502" s="148"/>
      <c r="R502" s="211">
        <f>$R$500/$F$500*F502</f>
        <v>88362.70483246338</v>
      </c>
      <c r="S502" s="211">
        <f>67548.81/118.78*F502</f>
        <v>24453.601869001512</v>
      </c>
      <c r="T502" s="443">
        <f>$T$500/$F$500*F502</f>
        <v>24309.473312005386</v>
      </c>
      <c r="U502" s="445"/>
      <c r="V502" s="443">
        <f t="shared" si="153"/>
        <v>64053.231520457994</v>
      </c>
      <c r="W502" s="211">
        <f>SUM(R502-S502)</f>
        <v>63909.102963461868</v>
      </c>
      <c r="X502" s="231">
        <f t="shared" si="175"/>
        <v>24453.601869001512</v>
      </c>
      <c r="Y502" s="231">
        <f t="shared" si="176"/>
        <v>0</v>
      </c>
      <c r="Z502" s="232">
        <f t="shared" si="177"/>
        <v>63909.102963461868</v>
      </c>
      <c r="AA502" s="22">
        <f t="shared" si="174"/>
        <v>0</v>
      </c>
      <c r="AB502" s="424">
        <f t="shared" si="178"/>
        <v>0</v>
      </c>
      <c r="AC502" s="424">
        <f t="shared" si="179"/>
        <v>0</v>
      </c>
    </row>
    <row r="503" spans="1:29" s="149" customFormat="1" ht="14.25" customHeight="1" x14ac:dyDescent="0.25">
      <c r="A503" s="163"/>
      <c r="B503" s="167"/>
      <c r="C503" s="146"/>
      <c r="D503" s="358" t="s">
        <v>588</v>
      </c>
      <c r="E503" s="169"/>
      <c r="F503" s="205">
        <v>31.68</v>
      </c>
      <c r="G503" s="144"/>
      <c r="H503" s="148"/>
      <c r="I503" s="148"/>
      <c r="J503" s="148"/>
      <c r="R503" s="211">
        <f t="shared" ref="R503:R504" si="182">$R$500/$F$500*F503</f>
        <v>65100.709048661396</v>
      </c>
      <c r="S503" s="211">
        <f t="shared" ref="S503:S504" si="183">67548.81/118.78*F503</f>
        <v>18016.049004882974</v>
      </c>
      <c r="T503" s="443">
        <f t="shared" ref="T503:T504" si="184">$T$500/$F$500*F503</f>
        <v>17909.863128472804</v>
      </c>
      <c r="U503" s="445"/>
      <c r="V503" s="443">
        <f t="shared" si="153"/>
        <v>47190.845920188593</v>
      </c>
      <c r="W503" s="211">
        <f t="shared" ref="W503:W504" si="185">SUM(R503-S503)</f>
        <v>47084.660043778422</v>
      </c>
      <c r="X503" s="231">
        <f t="shared" si="175"/>
        <v>18016.049004882974</v>
      </c>
      <c r="Y503" s="231">
        <f t="shared" si="176"/>
        <v>0</v>
      </c>
      <c r="Z503" s="232">
        <f t="shared" si="177"/>
        <v>47084.660043778422</v>
      </c>
      <c r="AA503" s="22">
        <f t="shared" si="174"/>
        <v>0</v>
      </c>
      <c r="AB503" s="424">
        <f t="shared" si="178"/>
        <v>0</v>
      </c>
      <c r="AC503" s="424">
        <f t="shared" si="179"/>
        <v>0</v>
      </c>
    </row>
    <row r="504" spans="1:29" s="149" customFormat="1" ht="14.25" customHeight="1" x14ac:dyDescent="0.25">
      <c r="A504" s="163"/>
      <c r="B504" s="167"/>
      <c r="C504" s="146"/>
      <c r="D504" s="358" t="s">
        <v>580</v>
      </c>
      <c r="E504" s="169"/>
      <c r="F504" s="205">
        <v>44.1</v>
      </c>
      <c r="G504" s="144"/>
      <c r="H504" s="148"/>
      <c r="I504" s="148"/>
      <c r="J504" s="148"/>
      <c r="R504" s="211">
        <f t="shared" si="182"/>
        <v>90623.146118875244</v>
      </c>
      <c r="S504" s="211">
        <f t="shared" si="183"/>
        <v>25079.159126115504</v>
      </c>
      <c r="T504" s="443">
        <f t="shared" si="184"/>
        <v>24931.343559521803</v>
      </c>
      <c r="U504" s="445"/>
      <c r="V504" s="443">
        <f t="shared" si="153"/>
        <v>65691.80255935344</v>
      </c>
      <c r="W504" s="211">
        <f t="shared" si="185"/>
        <v>65543.986992759746</v>
      </c>
      <c r="X504" s="231">
        <f t="shared" si="175"/>
        <v>25079.159126115504</v>
      </c>
      <c r="Y504" s="231">
        <f t="shared" si="176"/>
        <v>0</v>
      </c>
      <c r="Z504" s="232">
        <f t="shared" si="177"/>
        <v>65543.986992759746</v>
      </c>
      <c r="AA504" s="22">
        <f t="shared" si="174"/>
        <v>0</v>
      </c>
      <c r="AB504" s="424">
        <f t="shared" si="178"/>
        <v>0</v>
      </c>
      <c r="AC504" s="424">
        <f t="shared" si="179"/>
        <v>0</v>
      </c>
    </row>
    <row r="505" spans="1:29" s="149" customFormat="1" ht="14.25" customHeight="1" x14ac:dyDescent="0.25">
      <c r="A505" s="152"/>
      <c r="B505" s="143"/>
      <c r="C505" s="154"/>
      <c r="D505" s="143"/>
      <c r="E505" s="170"/>
      <c r="F505" s="206"/>
      <c r="G505" s="156"/>
      <c r="H505" s="157"/>
      <c r="I505" s="157"/>
      <c r="J505" s="157"/>
      <c r="K505" s="171"/>
      <c r="L505" s="171"/>
      <c r="M505" s="171"/>
      <c r="N505" s="171"/>
      <c r="O505" s="171"/>
      <c r="P505" s="171"/>
      <c r="Q505" s="171"/>
      <c r="R505" s="213"/>
      <c r="S505" s="213"/>
      <c r="T505" s="443"/>
      <c r="U505" s="445"/>
      <c r="V505" s="443"/>
      <c r="W505" s="213"/>
      <c r="X505" s="231">
        <f t="shared" si="175"/>
        <v>0</v>
      </c>
      <c r="Y505" s="231">
        <f t="shared" si="176"/>
        <v>0</v>
      </c>
      <c r="Z505" s="232">
        <f t="shared" si="177"/>
        <v>0</v>
      </c>
      <c r="AA505" s="22">
        <f t="shared" si="174"/>
        <v>0</v>
      </c>
      <c r="AB505" s="424">
        <f t="shared" si="178"/>
        <v>0</v>
      </c>
      <c r="AC505" s="424">
        <f t="shared" si="179"/>
        <v>0</v>
      </c>
    </row>
    <row r="506" spans="1:29" s="257" customFormat="1" ht="14.25" customHeight="1" x14ac:dyDescent="0.25">
      <c r="A506" s="224">
        <f>A500+1</f>
        <v>121</v>
      </c>
      <c r="B506" s="225" t="s">
        <v>214</v>
      </c>
      <c r="C506" s="226">
        <v>436</v>
      </c>
      <c r="D506" s="225" t="s">
        <v>204</v>
      </c>
      <c r="E506" s="454">
        <v>40</v>
      </c>
      <c r="F506" s="252">
        <f>F508+F509+F510+F511</f>
        <v>158.60000000000002</v>
      </c>
      <c r="G506" s="248">
        <v>1964</v>
      </c>
      <c r="H506" s="237">
        <f>SUM(Лист1!G138)</f>
        <v>176157.74</v>
      </c>
      <c r="I506" s="237">
        <f>SUM(Лист1!H138)</f>
        <v>51165.17</v>
      </c>
      <c r="J506" s="237">
        <f>SUM(Лист1!I138)</f>
        <v>97.87</v>
      </c>
      <c r="K506" s="261"/>
      <c r="L506" s="261"/>
      <c r="M506" s="261"/>
      <c r="N506" s="252">
        <v>2699.93</v>
      </c>
      <c r="O506" s="252">
        <v>2287.15</v>
      </c>
      <c r="P506" s="259">
        <v>3.77</v>
      </c>
      <c r="Q506" s="261"/>
      <c r="R506" s="231">
        <f t="shared" ref="R506" si="186">SUM(H506+N506)</f>
        <v>178857.66999999998</v>
      </c>
      <c r="S506" s="231">
        <f>SUM(I506+O506-J506)</f>
        <v>53354.45</v>
      </c>
      <c r="T506" s="443">
        <f>S506-3*U506</f>
        <v>53049.53</v>
      </c>
      <c r="U506" s="445">
        <f t="shared" si="152"/>
        <v>101.64</v>
      </c>
      <c r="V506" s="443">
        <f t="shared" si="153"/>
        <v>125808.13999999998</v>
      </c>
      <c r="W506" s="238">
        <f t="shared" si="181"/>
        <v>125503.21999999999</v>
      </c>
      <c r="X506" s="231">
        <f t="shared" si="175"/>
        <v>53252.81</v>
      </c>
      <c r="Y506" s="231">
        <f t="shared" si="176"/>
        <v>101.64</v>
      </c>
      <c r="Z506" s="232">
        <f t="shared" si="177"/>
        <v>125604.85999999999</v>
      </c>
      <c r="AA506" s="22">
        <f t="shared" si="174"/>
        <v>0</v>
      </c>
      <c r="AB506" s="424">
        <f t="shared" si="178"/>
        <v>-5.8264504332328215E-13</v>
      </c>
      <c r="AC506" s="424">
        <f t="shared" si="179"/>
        <v>0</v>
      </c>
    </row>
    <row r="507" spans="1:29" s="269" customFormat="1" ht="14.25" customHeight="1" x14ac:dyDescent="0.25">
      <c r="A507" s="272"/>
      <c r="B507" s="276"/>
      <c r="C507" s="266"/>
      <c r="D507" s="353" t="s">
        <v>518</v>
      </c>
      <c r="E507" s="457"/>
      <c r="F507" s="268"/>
      <c r="G507" s="278"/>
      <c r="H507" s="151"/>
      <c r="I507" s="151"/>
      <c r="J507" s="151"/>
      <c r="N507" s="268"/>
      <c r="O507" s="268"/>
      <c r="P507" s="315"/>
      <c r="R507" s="274"/>
      <c r="S507" s="274"/>
      <c r="T507" s="443"/>
      <c r="U507" s="445"/>
      <c r="V507" s="443"/>
      <c r="W507" s="295"/>
      <c r="X507" s="231">
        <f t="shared" si="175"/>
        <v>0</v>
      </c>
      <c r="Y507" s="231">
        <f t="shared" si="176"/>
        <v>0</v>
      </c>
      <c r="Z507" s="232">
        <f t="shared" si="177"/>
        <v>0</v>
      </c>
      <c r="AA507" s="22">
        <f t="shared" si="174"/>
        <v>0</v>
      </c>
      <c r="AB507" s="424">
        <f t="shared" si="178"/>
        <v>0</v>
      </c>
      <c r="AC507" s="424">
        <f t="shared" si="179"/>
        <v>0</v>
      </c>
    </row>
    <row r="508" spans="1:29" s="269" customFormat="1" ht="14.25" customHeight="1" x14ac:dyDescent="0.25">
      <c r="A508" s="272"/>
      <c r="B508" s="276"/>
      <c r="C508" s="266"/>
      <c r="D508" s="354" t="s">
        <v>589</v>
      </c>
      <c r="E508" s="457"/>
      <c r="F508" s="268">
        <v>42</v>
      </c>
      <c r="G508" s="278"/>
      <c r="H508" s="151"/>
      <c r="I508" s="151"/>
      <c r="J508" s="151"/>
      <c r="N508" s="268"/>
      <c r="O508" s="268"/>
      <c r="P508" s="315"/>
      <c r="R508" s="274">
        <f>$R$506/$F$506*F508</f>
        <v>47364.578436317774</v>
      </c>
      <c r="S508" s="274">
        <f>53354.45/158.6*F508</f>
        <v>14129.17339218159</v>
      </c>
      <c r="T508" s="443">
        <f>$T$506/$F$506*F508</f>
        <v>14048.425346784361</v>
      </c>
      <c r="U508" s="445"/>
      <c r="V508" s="443">
        <f t="shared" si="153"/>
        <v>33316.153089533414</v>
      </c>
      <c r="W508" s="295">
        <f>SUM(R508-S508)</f>
        <v>33235.405044136183</v>
      </c>
      <c r="X508" s="231">
        <f t="shared" si="175"/>
        <v>14129.17339218159</v>
      </c>
      <c r="Y508" s="231">
        <f t="shared" si="176"/>
        <v>0</v>
      </c>
      <c r="Z508" s="232">
        <f t="shared" si="177"/>
        <v>33235.405044136183</v>
      </c>
      <c r="AA508" s="22">
        <f t="shared" si="174"/>
        <v>0</v>
      </c>
      <c r="AB508" s="424">
        <f t="shared" si="178"/>
        <v>0</v>
      </c>
      <c r="AC508" s="424">
        <f t="shared" si="179"/>
        <v>0</v>
      </c>
    </row>
    <row r="509" spans="1:29" s="269" customFormat="1" ht="14.25" customHeight="1" x14ac:dyDescent="0.25">
      <c r="A509" s="272"/>
      <c r="B509" s="276"/>
      <c r="C509" s="266"/>
      <c r="D509" s="354" t="s">
        <v>524</v>
      </c>
      <c r="E509" s="457"/>
      <c r="F509" s="268">
        <v>43.2</v>
      </c>
      <c r="G509" s="278"/>
      <c r="H509" s="151"/>
      <c r="I509" s="151"/>
      <c r="J509" s="151"/>
      <c r="N509" s="268"/>
      <c r="O509" s="268"/>
      <c r="P509" s="315"/>
      <c r="R509" s="274">
        <f t="shared" ref="R509:R511" si="187">$R$506/$F$506*F509</f>
        <v>48717.852105926853</v>
      </c>
      <c r="S509" s="274">
        <f t="shared" ref="S509:S511" si="188">53354.45/158.6*F509</f>
        <v>14532.864060529635</v>
      </c>
      <c r="T509" s="443">
        <f t="shared" ref="T509:T511" si="189">$T$506/$F$506*F509</f>
        <v>14449.808928121058</v>
      </c>
      <c r="U509" s="445"/>
      <c r="V509" s="443">
        <f t="shared" si="153"/>
        <v>34268.043177805797</v>
      </c>
      <c r="W509" s="295">
        <f t="shared" ref="W509:W511" si="190">SUM(R509-S509)</f>
        <v>34184.988045397215</v>
      </c>
      <c r="X509" s="231">
        <f t="shared" si="175"/>
        <v>14532.864060529635</v>
      </c>
      <c r="Y509" s="231">
        <f t="shared" si="176"/>
        <v>0</v>
      </c>
      <c r="Z509" s="232">
        <f t="shared" si="177"/>
        <v>34184.988045397215</v>
      </c>
      <c r="AA509" s="22">
        <f t="shared" si="174"/>
        <v>0</v>
      </c>
      <c r="AB509" s="424">
        <f t="shared" si="178"/>
        <v>0</v>
      </c>
      <c r="AC509" s="424">
        <f t="shared" si="179"/>
        <v>0</v>
      </c>
    </row>
    <row r="510" spans="1:29" s="269" customFormat="1" ht="14.25" customHeight="1" x14ac:dyDescent="0.25">
      <c r="A510" s="272"/>
      <c r="B510" s="276"/>
      <c r="C510" s="266"/>
      <c r="D510" s="354" t="s">
        <v>539</v>
      </c>
      <c r="E510" s="457"/>
      <c r="F510" s="268">
        <v>43.6</v>
      </c>
      <c r="G510" s="278"/>
      <c r="H510" s="151"/>
      <c r="I510" s="151"/>
      <c r="J510" s="151"/>
      <c r="N510" s="268"/>
      <c r="O510" s="268"/>
      <c r="P510" s="315"/>
      <c r="R510" s="274">
        <f t="shared" si="187"/>
        <v>49168.943329129877</v>
      </c>
      <c r="S510" s="274">
        <f t="shared" si="188"/>
        <v>14667.427616645651</v>
      </c>
      <c r="T510" s="443">
        <f t="shared" si="189"/>
        <v>14583.603455233289</v>
      </c>
      <c r="U510" s="445"/>
      <c r="V510" s="443">
        <f t="shared" si="153"/>
        <v>34585.339873896592</v>
      </c>
      <c r="W510" s="295">
        <f t="shared" si="190"/>
        <v>34501.515712484223</v>
      </c>
      <c r="X510" s="231">
        <f t="shared" si="175"/>
        <v>14667.427616645651</v>
      </c>
      <c r="Y510" s="231">
        <f t="shared" si="176"/>
        <v>0</v>
      </c>
      <c r="Z510" s="232">
        <f t="shared" si="177"/>
        <v>34501.515712484223</v>
      </c>
      <c r="AA510" s="22">
        <f t="shared" si="174"/>
        <v>0</v>
      </c>
      <c r="AB510" s="424">
        <f t="shared" si="178"/>
        <v>0</v>
      </c>
      <c r="AC510" s="424">
        <f t="shared" si="179"/>
        <v>0</v>
      </c>
    </row>
    <row r="511" spans="1:29" s="269" customFormat="1" ht="14.25" customHeight="1" x14ac:dyDescent="0.25">
      <c r="A511" s="272"/>
      <c r="B511" s="276"/>
      <c r="C511" s="266"/>
      <c r="D511" s="354" t="s">
        <v>590</v>
      </c>
      <c r="E511" s="457"/>
      <c r="F511" s="268">
        <v>29.8</v>
      </c>
      <c r="G511" s="278"/>
      <c r="H511" s="151"/>
      <c r="I511" s="151"/>
      <c r="J511" s="151"/>
      <c r="N511" s="268"/>
      <c r="O511" s="268"/>
      <c r="P511" s="315"/>
      <c r="R511" s="274">
        <f t="shared" si="187"/>
        <v>33606.296128625465</v>
      </c>
      <c r="S511" s="274">
        <f t="shared" si="188"/>
        <v>10024.984930643128</v>
      </c>
      <c r="T511" s="443">
        <f t="shared" si="189"/>
        <v>9967.6922698612852</v>
      </c>
      <c r="U511" s="445"/>
      <c r="V511" s="443">
        <f t="shared" si="153"/>
        <v>23638.603858764181</v>
      </c>
      <c r="W511" s="295">
        <f t="shared" si="190"/>
        <v>23581.311197982337</v>
      </c>
      <c r="X511" s="231">
        <f t="shared" si="175"/>
        <v>10024.984930643128</v>
      </c>
      <c r="Y511" s="231">
        <f t="shared" si="176"/>
        <v>0</v>
      </c>
      <c r="Z511" s="232">
        <f t="shared" si="177"/>
        <v>23581.311197982337</v>
      </c>
      <c r="AA511" s="22">
        <f t="shared" si="174"/>
        <v>0</v>
      </c>
      <c r="AB511" s="424">
        <f t="shared" si="178"/>
        <v>0</v>
      </c>
      <c r="AC511" s="424">
        <f t="shared" si="179"/>
        <v>0</v>
      </c>
    </row>
    <row r="512" spans="1:29" s="149" customFormat="1" ht="14.25" customHeight="1" x14ac:dyDescent="0.25">
      <c r="A512" s="152"/>
      <c r="B512" s="143"/>
      <c r="C512" s="154"/>
      <c r="D512" s="143"/>
      <c r="E512" s="170"/>
      <c r="F512" s="158"/>
      <c r="G512" s="142"/>
      <c r="H512" s="157"/>
      <c r="I512" s="157"/>
      <c r="J512" s="157"/>
      <c r="K512" s="171"/>
      <c r="L512" s="171"/>
      <c r="M512" s="171"/>
      <c r="N512" s="158"/>
      <c r="O512" s="158"/>
      <c r="P512" s="159"/>
      <c r="Q512" s="171"/>
      <c r="R512" s="213"/>
      <c r="S512" s="213"/>
      <c r="T512" s="443"/>
      <c r="U512" s="445"/>
      <c r="V512" s="443"/>
      <c r="W512" s="214"/>
      <c r="X512" s="231">
        <f t="shared" si="175"/>
        <v>0</v>
      </c>
      <c r="Y512" s="231">
        <f t="shared" si="176"/>
        <v>0</v>
      </c>
      <c r="Z512" s="232">
        <f t="shared" si="177"/>
        <v>0</v>
      </c>
      <c r="AA512" s="22">
        <f t="shared" si="174"/>
        <v>0</v>
      </c>
      <c r="AB512" s="424">
        <f t="shared" si="178"/>
        <v>0</v>
      </c>
      <c r="AC512" s="424">
        <f t="shared" si="179"/>
        <v>0</v>
      </c>
    </row>
    <row r="513" spans="1:29" s="257" customFormat="1" ht="14.25" customHeight="1" x14ac:dyDescent="0.25">
      <c r="A513" s="234">
        <f>SUM(A506+1)</f>
        <v>122</v>
      </c>
      <c r="B513" s="225" t="s">
        <v>215</v>
      </c>
      <c r="C513" s="235">
        <v>438</v>
      </c>
      <c r="D513" s="246" t="s">
        <v>195</v>
      </c>
      <c r="E513" s="454">
        <v>20</v>
      </c>
      <c r="F513" s="252">
        <v>40.6</v>
      </c>
      <c r="G513" s="248">
        <v>1963</v>
      </c>
      <c r="H513" s="237">
        <f>SUM(Лист1!G139)</f>
        <v>32658.13</v>
      </c>
      <c r="I513" s="237">
        <f>SUM(Лист1!H139)</f>
        <v>8040.83</v>
      </c>
      <c r="J513" s="237">
        <f>SUM(Лист1!I139)</f>
        <v>18.22</v>
      </c>
      <c r="K513" s="261"/>
      <c r="L513" s="261"/>
      <c r="M513" s="261"/>
      <c r="N513" s="259">
        <v>492.6</v>
      </c>
      <c r="O513" s="259">
        <v>382.76</v>
      </c>
      <c r="P513" s="259">
        <v>0.79</v>
      </c>
      <c r="Q513" s="261"/>
      <c r="R513" s="231">
        <f t="shared" ref="R513" si="191">SUM(H513+N513)</f>
        <v>33150.730000000003</v>
      </c>
      <c r="S513" s="231">
        <f>SUM(I513+O513-J513)</f>
        <v>8405.3700000000008</v>
      </c>
      <c r="T513" s="443">
        <f>S513-3*U513</f>
        <v>8348.34</v>
      </c>
      <c r="U513" s="445">
        <f t="shared" si="152"/>
        <v>19.009999999999998</v>
      </c>
      <c r="V513" s="443">
        <f t="shared" si="153"/>
        <v>24802.390000000003</v>
      </c>
      <c r="W513" s="238">
        <f t="shared" si="181"/>
        <v>24745.360000000001</v>
      </c>
      <c r="X513" s="231">
        <f t="shared" si="175"/>
        <v>8386.36</v>
      </c>
      <c r="Y513" s="231">
        <f t="shared" si="176"/>
        <v>19.009999999999998</v>
      </c>
      <c r="Z513" s="232">
        <f t="shared" si="177"/>
        <v>24764.37</v>
      </c>
      <c r="AA513" s="22">
        <f t="shared" si="174"/>
        <v>0</v>
      </c>
      <c r="AB513" s="424">
        <f t="shared" si="178"/>
        <v>2.2026824808563106E-13</v>
      </c>
      <c r="AC513" s="424">
        <f t="shared" si="179"/>
        <v>3.637978807091713E-12</v>
      </c>
    </row>
    <row r="514" spans="1:29" s="149" customFormat="1" ht="14.25" customHeight="1" x14ac:dyDescent="0.25">
      <c r="A514" s="163"/>
      <c r="B514" s="167"/>
      <c r="C514" s="146"/>
      <c r="D514" s="357" t="s">
        <v>500</v>
      </c>
      <c r="E514" s="169"/>
      <c r="F514" s="139">
        <v>40.6</v>
      </c>
      <c r="G514" s="249"/>
      <c r="H514" s="148"/>
      <c r="I514" s="148"/>
      <c r="J514" s="148"/>
      <c r="N514" s="140"/>
      <c r="O514" s="140"/>
      <c r="P514" s="140"/>
      <c r="R514" s="211"/>
      <c r="S514" s="211"/>
      <c r="T514" s="443"/>
      <c r="U514" s="445"/>
      <c r="V514" s="443"/>
      <c r="W514" s="212"/>
      <c r="X514" s="231">
        <f t="shared" si="175"/>
        <v>0</v>
      </c>
      <c r="Y514" s="231">
        <f t="shared" si="176"/>
        <v>0</v>
      </c>
      <c r="Z514" s="232">
        <f t="shared" si="177"/>
        <v>0</v>
      </c>
      <c r="AA514" s="22">
        <f t="shared" si="174"/>
        <v>0</v>
      </c>
      <c r="AB514" s="424">
        <f t="shared" si="178"/>
        <v>0</v>
      </c>
      <c r="AC514" s="424">
        <f t="shared" si="179"/>
        <v>0</v>
      </c>
    </row>
    <row r="515" spans="1:29" s="149" customFormat="1" ht="14.25" customHeight="1" x14ac:dyDescent="0.25">
      <c r="A515" s="152"/>
      <c r="B515" s="143"/>
      <c r="C515" s="154"/>
      <c r="D515" s="143"/>
      <c r="E515" s="170"/>
      <c r="F515" s="158"/>
      <c r="G515" s="142"/>
      <c r="H515" s="157"/>
      <c r="I515" s="157"/>
      <c r="J515" s="157"/>
      <c r="K515" s="171"/>
      <c r="L515" s="171"/>
      <c r="M515" s="171"/>
      <c r="N515" s="159"/>
      <c r="O515" s="159"/>
      <c r="P515" s="159"/>
      <c r="Q515" s="171"/>
      <c r="R515" s="213"/>
      <c r="S515" s="213"/>
      <c r="T515" s="443"/>
      <c r="U515" s="445"/>
      <c r="V515" s="443"/>
      <c r="W515" s="214"/>
      <c r="X515" s="231">
        <f t="shared" si="175"/>
        <v>0</v>
      </c>
      <c r="Y515" s="231">
        <f t="shared" si="176"/>
        <v>0</v>
      </c>
      <c r="Z515" s="232">
        <f t="shared" si="177"/>
        <v>0</v>
      </c>
      <c r="AA515" s="22">
        <f t="shared" si="174"/>
        <v>0</v>
      </c>
      <c r="AB515" s="424">
        <f t="shared" si="178"/>
        <v>0</v>
      </c>
      <c r="AC515" s="424">
        <f t="shared" si="179"/>
        <v>0</v>
      </c>
    </row>
    <row r="516" spans="1:29" s="257" customFormat="1" ht="14.25" customHeight="1" x14ac:dyDescent="0.25">
      <c r="A516" s="224">
        <f>SUM(A513+1)</f>
        <v>123</v>
      </c>
      <c r="B516" s="225" t="s">
        <v>216</v>
      </c>
      <c r="C516" s="226">
        <v>440</v>
      </c>
      <c r="D516" s="225" t="s">
        <v>204</v>
      </c>
      <c r="E516" s="454">
        <v>52</v>
      </c>
      <c r="F516" s="252">
        <v>100.1</v>
      </c>
      <c r="G516" s="248">
        <v>1937</v>
      </c>
      <c r="H516" s="237">
        <f>SUM(Лист1!G140)</f>
        <v>66202.91</v>
      </c>
      <c r="I516" s="237">
        <f>SUM(Лист1!H140)</f>
        <v>9564.9500000000007</v>
      </c>
      <c r="J516" s="237">
        <f>SUM(Лист1!I140)</f>
        <v>45.71</v>
      </c>
      <c r="K516" s="261"/>
      <c r="L516" s="261"/>
      <c r="M516" s="261"/>
      <c r="N516" s="261"/>
      <c r="O516" s="261"/>
      <c r="P516" s="261"/>
      <c r="Q516" s="261"/>
      <c r="R516" s="231">
        <f t="shared" si="73"/>
        <v>66202.91</v>
      </c>
      <c r="S516" s="231">
        <f>SUM(I516+O516-J516)</f>
        <v>9519.2400000000016</v>
      </c>
      <c r="T516" s="443">
        <f>S516-3*U516</f>
        <v>9382.1100000000024</v>
      </c>
      <c r="U516" s="445">
        <f t="shared" si="152"/>
        <v>45.71</v>
      </c>
      <c r="V516" s="443">
        <f t="shared" si="153"/>
        <v>56820.800000000003</v>
      </c>
      <c r="W516" s="238">
        <f t="shared" si="181"/>
        <v>56683.67</v>
      </c>
      <c r="X516" s="231">
        <f t="shared" si="175"/>
        <v>9473.5300000000025</v>
      </c>
      <c r="Y516" s="231">
        <f t="shared" si="176"/>
        <v>45.71</v>
      </c>
      <c r="Z516" s="232">
        <f t="shared" si="177"/>
        <v>56729.38</v>
      </c>
      <c r="AA516" s="22">
        <f t="shared" si="174"/>
        <v>0</v>
      </c>
      <c r="AB516" s="424">
        <f t="shared" si="178"/>
        <v>-8.7396756498492323E-13</v>
      </c>
      <c r="AC516" s="424">
        <f t="shared" si="179"/>
        <v>7.2759576141834259E-12</v>
      </c>
    </row>
    <row r="517" spans="1:29" s="149" customFormat="1" ht="14.25" customHeight="1" x14ac:dyDescent="0.25">
      <c r="A517" s="163"/>
      <c r="B517" s="167"/>
      <c r="C517" s="146"/>
      <c r="D517" s="357" t="s">
        <v>518</v>
      </c>
      <c r="E517" s="169"/>
      <c r="F517" s="139"/>
      <c r="G517" s="249"/>
      <c r="H517" s="148"/>
      <c r="I517" s="148"/>
      <c r="J517" s="148"/>
      <c r="R517" s="211"/>
      <c r="S517" s="211"/>
      <c r="T517" s="443"/>
      <c r="U517" s="445"/>
      <c r="V517" s="443"/>
      <c r="W517" s="212"/>
      <c r="X517" s="231">
        <f t="shared" si="175"/>
        <v>0</v>
      </c>
      <c r="Y517" s="231">
        <f t="shared" si="176"/>
        <v>0</v>
      </c>
      <c r="Z517" s="232">
        <f t="shared" si="177"/>
        <v>0</v>
      </c>
      <c r="AA517" s="22">
        <f t="shared" si="174"/>
        <v>0</v>
      </c>
      <c r="AB517" s="424">
        <f t="shared" si="178"/>
        <v>0</v>
      </c>
      <c r="AC517" s="424">
        <f t="shared" si="179"/>
        <v>0</v>
      </c>
    </row>
    <row r="518" spans="1:29" s="149" customFormat="1" ht="14.25" customHeight="1" x14ac:dyDescent="0.25">
      <c r="A518" s="163"/>
      <c r="B518" s="167"/>
      <c r="C518" s="146"/>
      <c r="D518" s="358" t="s">
        <v>566</v>
      </c>
      <c r="E518" s="169"/>
      <c r="F518" s="139">
        <v>49.9</v>
      </c>
      <c r="G518" s="249"/>
      <c r="H518" s="148"/>
      <c r="I518" s="148"/>
      <c r="J518" s="148"/>
      <c r="R518" s="211">
        <f>$R$516/$F$516*F518</f>
        <v>33002.249840159842</v>
      </c>
      <c r="S518" s="211">
        <f>S516/F516*F518</f>
        <v>4745.3554045954061</v>
      </c>
      <c r="T518" s="443">
        <f>$T$516/$F$516*F518</f>
        <v>4676.9958941058958</v>
      </c>
      <c r="U518" s="445"/>
      <c r="V518" s="443">
        <f t="shared" si="153"/>
        <v>28325.253946053948</v>
      </c>
      <c r="W518" s="212">
        <f>SUM(R518-S518)</f>
        <v>28256.894435564434</v>
      </c>
      <c r="X518" s="231">
        <f t="shared" si="175"/>
        <v>4745.3554045954061</v>
      </c>
      <c r="Y518" s="231">
        <f t="shared" si="176"/>
        <v>0</v>
      </c>
      <c r="Z518" s="232">
        <f t="shared" si="177"/>
        <v>28256.894435564434</v>
      </c>
      <c r="AA518" s="22">
        <f t="shared" si="174"/>
        <v>0</v>
      </c>
      <c r="AB518" s="424">
        <f t="shared" si="178"/>
        <v>0</v>
      </c>
      <c r="AC518" s="424">
        <f t="shared" si="179"/>
        <v>0</v>
      </c>
    </row>
    <row r="519" spans="1:29" s="149" customFormat="1" ht="14.25" customHeight="1" x14ac:dyDescent="0.25">
      <c r="A519" s="163"/>
      <c r="B519" s="167"/>
      <c r="C519" s="146"/>
      <c r="D519" s="358" t="s">
        <v>524</v>
      </c>
      <c r="E519" s="169"/>
      <c r="F519" s="139">
        <v>50.2</v>
      </c>
      <c r="G519" s="249"/>
      <c r="H519" s="148"/>
      <c r="I519" s="148"/>
      <c r="J519" s="148"/>
      <c r="R519" s="211">
        <f>$R$516/$F$516*F519</f>
        <v>33200.660159840161</v>
      </c>
      <c r="S519" s="211">
        <f>S516/F516*F519</f>
        <v>4773.8845954045973</v>
      </c>
      <c r="T519" s="443">
        <f>$T$516/$F$516*F519</f>
        <v>4705.1141058941075</v>
      </c>
      <c r="U519" s="445"/>
      <c r="V519" s="443">
        <f t="shared" si="153"/>
        <v>28495.546053946055</v>
      </c>
      <c r="W519" s="212">
        <f>SUM(R519-S519)</f>
        <v>28426.775564435564</v>
      </c>
      <c r="X519" s="231">
        <f t="shared" si="175"/>
        <v>4773.8845954045973</v>
      </c>
      <c r="Y519" s="231">
        <f t="shared" si="176"/>
        <v>0</v>
      </c>
      <c r="Z519" s="232">
        <f t="shared" si="177"/>
        <v>28426.775564435564</v>
      </c>
      <c r="AA519" s="22">
        <f t="shared" si="174"/>
        <v>0</v>
      </c>
      <c r="AB519" s="424">
        <f t="shared" si="178"/>
        <v>0</v>
      </c>
      <c r="AC519" s="424">
        <f t="shared" si="179"/>
        <v>0</v>
      </c>
    </row>
    <row r="520" spans="1:29" s="149" customFormat="1" ht="14.25" customHeight="1" x14ac:dyDescent="0.25">
      <c r="A520" s="152"/>
      <c r="B520" s="143"/>
      <c r="C520" s="154"/>
      <c r="D520" s="143"/>
      <c r="E520" s="170"/>
      <c r="F520" s="158"/>
      <c r="G520" s="142"/>
      <c r="H520" s="157"/>
      <c r="I520" s="157"/>
      <c r="J520" s="157"/>
      <c r="K520" s="171"/>
      <c r="L520" s="171"/>
      <c r="M520" s="171"/>
      <c r="N520" s="171"/>
      <c r="O520" s="171"/>
      <c r="P520" s="171"/>
      <c r="Q520" s="171"/>
      <c r="R520" s="213"/>
      <c r="S520" s="213"/>
      <c r="T520" s="443"/>
      <c r="U520" s="445"/>
      <c r="V520" s="443"/>
      <c r="W520" s="214"/>
      <c r="X520" s="231">
        <f t="shared" si="175"/>
        <v>0</v>
      </c>
      <c r="Y520" s="231">
        <f t="shared" si="176"/>
        <v>0</v>
      </c>
      <c r="Z520" s="232">
        <f t="shared" si="177"/>
        <v>0</v>
      </c>
      <c r="AA520" s="22">
        <f t="shared" si="174"/>
        <v>0</v>
      </c>
      <c r="AB520" s="424">
        <f t="shared" si="178"/>
        <v>0</v>
      </c>
      <c r="AC520" s="424">
        <f t="shared" si="179"/>
        <v>0</v>
      </c>
    </row>
    <row r="521" spans="1:29" s="257" customFormat="1" ht="14.25" customHeight="1" x14ac:dyDescent="0.25">
      <c r="A521" s="313">
        <f>SUM(A516+1)</f>
        <v>124</v>
      </c>
      <c r="B521" s="307" t="s">
        <v>217</v>
      </c>
      <c r="C521" s="348">
        <v>441</v>
      </c>
      <c r="D521" s="307" t="s">
        <v>204</v>
      </c>
      <c r="E521" s="320">
        <v>48</v>
      </c>
      <c r="F521" s="245">
        <f>F523+F524+F525</f>
        <v>126.10000000000001</v>
      </c>
      <c r="G521" s="258">
        <v>1970</v>
      </c>
      <c r="H521" s="237">
        <f>SUM(Лист1!G141)</f>
        <v>119003.34</v>
      </c>
      <c r="I521" s="237">
        <f>SUM(Лист1!H141)</f>
        <v>37112.550000000003</v>
      </c>
      <c r="J521" s="237">
        <f>SUM(Лист1!I141)</f>
        <v>64.84</v>
      </c>
      <c r="K521" s="261"/>
      <c r="L521" s="261"/>
      <c r="M521" s="261"/>
      <c r="N521" s="252">
        <v>1477.7</v>
      </c>
      <c r="O521" s="252">
        <v>1259.24</v>
      </c>
      <c r="P521" s="259">
        <v>2.08</v>
      </c>
      <c r="Q521" s="261"/>
      <c r="R521" s="231">
        <f t="shared" ref="R521" si="192">SUM(H521+N521)</f>
        <v>120481.04</v>
      </c>
      <c r="S521" s="231">
        <f>SUM(I521+O521-J521)</f>
        <v>38306.950000000004</v>
      </c>
      <c r="T521" s="443">
        <f>S521-3*U521</f>
        <v>38106.19</v>
      </c>
      <c r="U521" s="445">
        <f t="shared" si="152"/>
        <v>66.92</v>
      </c>
      <c r="V521" s="443">
        <f t="shared" si="153"/>
        <v>82374.849999999991</v>
      </c>
      <c r="W521" s="238">
        <f t="shared" si="181"/>
        <v>82174.09</v>
      </c>
      <c r="X521" s="231">
        <f t="shared" si="175"/>
        <v>38240.030000000006</v>
      </c>
      <c r="Y521" s="231">
        <f t="shared" si="176"/>
        <v>66.92</v>
      </c>
      <c r="Z521" s="232">
        <f t="shared" si="177"/>
        <v>82241.009999999995</v>
      </c>
      <c r="AA521" s="22">
        <f t="shared" si="174"/>
        <v>0</v>
      </c>
      <c r="AB521" s="424">
        <f t="shared" si="178"/>
        <v>-1.7479351299698465E-12</v>
      </c>
      <c r="AC521" s="424">
        <f t="shared" si="179"/>
        <v>-1.4551915228366852E-11</v>
      </c>
    </row>
    <row r="522" spans="1:29" s="269" customFormat="1" ht="14.25" customHeight="1" x14ac:dyDescent="0.25">
      <c r="A522" s="272"/>
      <c r="B522" s="276"/>
      <c r="C522" s="266"/>
      <c r="D522" s="353" t="s">
        <v>518</v>
      </c>
      <c r="E522" s="267"/>
      <c r="F522" s="277"/>
      <c r="G522" s="265"/>
      <c r="H522" s="151"/>
      <c r="I522" s="151"/>
      <c r="J522" s="151"/>
      <c r="N522" s="268"/>
      <c r="O522" s="268"/>
      <c r="P522" s="315"/>
      <c r="R522" s="274"/>
      <c r="S522" s="274"/>
      <c r="T522" s="443"/>
      <c r="U522" s="445"/>
      <c r="V522" s="443"/>
      <c r="W522" s="295"/>
      <c r="X522" s="231">
        <f t="shared" si="175"/>
        <v>0</v>
      </c>
      <c r="Y522" s="231">
        <f t="shared" si="176"/>
        <v>0</v>
      </c>
      <c r="Z522" s="232">
        <f t="shared" si="177"/>
        <v>0</v>
      </c>
      <c r="AA522" s="22">
        <f t="shared" si="174"/>
        <v>0</v>
      </c>
      <c r="AB522" s="424">
        <f t="shared" si="178"/>
        <v>0</v>
      </c>
      <c r="AC522" s="424">
        <f t="shared" si="179"/>
        <v>0</v>
      </c>
    </row>
    <row r="523" spans="1:29" s="269" customFormat="1" ht="14.25" customHeight="1" x14ac:dyDescent="0.25">
      <c r="A523" s="272"/>
      <c r="B523" s="276"/>
      <c r="C523" s="266"/>
      <c r="D523" s="353" t="s">
        <v>510</v>
      </c>
      <c r="E523" s="267"/>
      <c r="F523" s="277">
        <v>50.2</v>
      </c>
      <c r="G523" s="265"/>
      <c r="H523" s="151"/>
      <c r="I523" s="151"/>
      <c r="J523" s="151"/>
      <c r="N523" s="268"/>
      <c r="O523" s="268"/>
      <c r="P523" s="315"/>
      <c r="R523" s="274">
        <f>$R$521/$F$521*F523</f>
        <v>47963.110293417914</v>
      </c>
      <c r="S523" s="274">
        <f>38306.95/126.1*F523</f>
        <v>15249.872244250597</v>
      </c>
      <c r="T523" s="443">
        <f>$T$521/$F$521*F523</f>
        <v>15169.950340999208</v>
      </c>
      <c r="U523" s="445"/>
      <c r="V523" s="443">
        <f t="shared" si="153"/>
        <v>32793.159952418704</v>
      </c>
      <c r="W523" s="295">
        <f>SUM(R523-S523)</f>
        <v>32713.238049167318</v>
      </c>
      <c r="X523" s="231">
        <f t="shared" si="175"/>
        <v>15249.872244250597</v>
      </c>
      <c r="Y523" s="231">
        <f t="shared" si="176"/>
        <v>0</v>
      </c>
      <c r="Z523" s="232">
        <f t="shared" si="177"/>
        <v>32713.238049167318</v>
      </c>
      <c r="AA523" s="22">
        <f t="shared" si="174"/>
        <v>0</v>
      </c>
      <c r="AB523" s="424">
        <f t="shared" si="178"/>
        <v>0</v>
      </c>
      <c r="AC523" s="424">
        <f t="shared" si="179"/>
        <v>0</v>
      </c>
    </row>
    <row r="524" spans="1:29" s="269" customFormat="1" ht="14.25" customHeight="1" x14ac:dyDescent="0.25">
      <c r="A524" s="272"/>
      <c r="B524" s="276"/>
      <c r="C524" s="266"/>
      <c r="D524" s="353" t="s">
        <v>524</v>
      </c>
      <c r="E524" s="267"/>
      <c r="F524" s="277">
        <v>46.7</v>
      </c>
      <c r="G524" s="265"/>
      <c r="H524" s="151"/>
      <c r="I524" s="151"/>
      <c r="J524" s="151"/>
      <c r="N524" s="268"/>
      <c r="O524" s="268"/>
      <c r="P524" s="315"/>
      <c r="R524" s="274">
        <f t="shared" ref="R524:R525" si="193">$R$521/$F$521*F524</f>
        <v>44619.06873909595</v>
      </c>
      <c r="S524" s="274">
        <f t="shared" ref="S524:S525" si="194">38306.95/126.1*F524</f>
        <v>14186.63413957177</v>
      </c>
      <c r="T524" s="443">
        <f t="shared" ref="T524:T525" si="195">$T$521/$F$521*F524</f>
        <v>14112.284480570976</v>
      </c>
      <c r="U524" s="445"/>
      <c r="V524" s="443">
        <f t="shared" si="153"/>
        <v>30506.784258524975</v>
      </c>
      <c r="W524" s="295">
        <f t="shared" ref="W524:W525" si="196">SUM(R524-S524)</f>
        <v>30432.434599524182</v>
      </c>
      <c r="X524" s="231">
        <f t="shared" si="175"/>
        <v>14186.63413957177</v>
      </c>
      <c r="Y524" s="231">
        <f t="shared" si="176"/>
        <v>0</v>
      </c>
      <c r="Z524" s="232">
        <f t="shared" si="177"/>
        <v>30432.434599524182</v>
      </c>
      <c r="AA524" s="22">
        <f t="shared" si="174"/>
        <v>0</v>
      </c>
      <c r="AB524" s="424">
        <f t="shared" si="178"/>
        <v>0</v>
      </c>
      <c r="AC524" s="424">
        <f t="shared" si="179"/>
        <v>0</v>
      </c>
    </row>
    <row r="525" spans="1:29" s="269" customFormat="1" ht="14.25" customHeight="1" x14ac:dyDescent="0.25">
      <c r="A525" s="272"/>
      <c r="B525" s="276"/>
      <c r="C525" s="266"/>
      <c r="D525" s="353" t="s">
        <v>591</v>
      </c>
      <c r="E525" s="267"/>
      <c r="F525" s="277">
        <v>29.2</v>
      </c>
      <c r="G525" s="265"/>
      <c r="H525" s="151"/>
      <c r="I525" s="151"/>
      <c r="J525" s="151"/>
      <c r="N525" s="268"/>
      <c r="O525" s="268"/>
      <c r="P525" s="315"/>
      <c r="R525" s="274">
        <f t="shared" si="193"/>
        <v>27898.860967486118</v>
      </c>
      <c r="S525" s="274">
        <f t="shared" si="194"/>
        <v>8870.4436161776375</v>
      </c>
      <c r="T525" s="443">
        <f t="shared" si="195"/>
        <v>8823.9551784298164</v>
      </c>
      <c r="U525" s="445"/>
      <c r="V525" s="443">
        <f t="shared" si="153"/>
        <v>19074.905789056302</v>
      </c>
      <c r="W525" s="295">
        <f t="shared" si="196"/>
        <v>19028.417351308482</v>
      </c>
      <c r="X525" s="231">
        <f t="shared" si="175"/>
        <v>8870.4436161776375</v>
      </c>
      <c r="Y525" s="231">
        <f t="shared" si="176"/>
        <v>0</v>
      </c>
      <c r="Z525" s="232">
        <f t="shared" si="177"/>
        <v>19028.417351308482</v>
      </c>
      <c r="AA525" s="22">
        <f t="shared" si="174"/>
        <v>0</v>
      </c>
      <c r="AB525" s="424">
        <f t="shared" si="178"/>
        <v>0</v>
      </c>
      <c r="AC525" s="424">
        <f t="shared" si="179"/>
        <v>0</v>
      </c>
    </row>
    <row r="526" spans="1:29" s="149" customFormat="1" ht="14.25" customHeight="1" x14ac:dyDescent="0.25">
      <c r="A526" s="152"/>
      <c r="B526" s="143"/>
      <c r="C526" s="154"/>
      <c r="D526" s="143"/>
      <c r="E526" s="155"/>
      <c r="F526" s="206"/>
      <c r="G526" s="156"/>
      <c r="H526" s="157"/>
      <c r="I526" s="157"/>
      <c r="J526" s="157"/>
      <c r="K526" s="171"/>
      <c r="L526" s="171"/>
      <c r="M526" s="171"/>
      <c r="N526" s="158"/>
      <c r="O526" s="158"/>
      <c r="P526" s="159"/>
      <c r="Q526" s="171"/>
      <c r="R526" s="213"/>
      <c r="S526" s="213"/>
      <c r="T526" s="443"/>
      <c r="U526" s="445"/>
      <c r="V526" s="443"/>
      <c r="W526" s="214"/>
      <c r="X526" s="231">
        <f t="shared" si="175"/>
        <v>0</v>
      </c>
      <c r="Y526" s="231">
        <f t="shared" si="176"/>
        <v>0</v>
      </c>
      <c r="Z526" s="232">
        <f t="shared" si="177"/>
        <v>0</v>
      </c>
      <c r="AA526" s="22">
        <f t="shared" si="174"/>
        <v>0</v>
      </c>
      <c r="AB526" s="424">
        <f t="shared" si="178"/>
        <v>0</v>
      </c>
      <c r="AC526" s="424">
        <f t="shared" si="179"/>
        <v>0</v>
      </c>
    </row>
    <row r="527" spans="1:29" s="257" customFormat="1" ht="14.25" customHeight="1" x14ac:dyDescent="0.25">
      <c r="A527" s="224">
        <f>SUM(A521+1)</f>
        <v>125</v>
      </c>
      <c r="B527" s="225" t="s">
        <v>218</v>
      </c>
      <c r="C527" s="226">
        <v>445</v>
      </c>
      <c r="D527" s="225" t="s">
        <v>185</v>
      </c>
      <c r="E527" s="251">
        <v>3</v>
      </c>
      <c r="F527" s="227">
        <v>138</v>
      </c>
      <c r="G527" s="258">
        <v>1961</v>
      </c>
      <c r="H527" s="237">
        <f>SUM(Лист1!G142)</f>
        <v>272141.49</v>
      </c>
      <c r="I527" s="237">
        <f>SUM(Лист1!H142)</f>
        <v>7955.8</v>
      </c>
      <c r="J527" s="237">
        <f>SUM(Лист1!I142)</f>
        <v>51.7</v>
      </c>
      <c r="K527" s="261"/>
      <c r="L527" s="261"/>
      <c r="M527" s="261"/>
      <c r="N527" s="252">
        <v>15969.51</v>
      </c>
      <c r="O527" s="252">
        <v>11705.2</v>
      </c>
      <c r="P527" s="259">
        <v>66.540000000000006</v>
      </c>
      <c r="Q527" s="261"/>
      <c r="R527" s="231">
        <f t="shared" ref="R527" si="197">SUM(H527+N527)</f>
        <v>288111</v>
      </c>
      <c r="S527" s="231">
        <f>SUM(I527+O527-J527)</f>
        <v>19609.3</v>
      </c>
      <c r="T527" s="443">
        <f>S527-3*U527</f>
        <v>19254.579999999998</v>
      </c>
      <c r="U527" s="445">
        <f t="shared" si="152"/>
        <v>118.24000000000001</v>
      </c>
      <c r="V527" s="443">
        <f t="shared" si="153"/>
        <v>268856.42</v>
      </c>
      <c r="W527" s="238">
        <f t="shared" si="181"/>
        <v>268501.7</v>
      </c>
      <c r="X527" s="231">
        <f t="shared" si="175"/>
        <v>19491.059999999998</v>
      </c>
      <c r="Y527" s="231">
        <f t="shared" si="176"/>
        <v>118.24000000000001</v>
      </c>
      <c r="Z527" s="232">
        <f t="shared" si="177"/>
        <v>268619.94</v>
      </c>
      <c r="AA527" s="22">
        <f t="shared" si="174"/>
        <v>0</v>
      </c>
      <c r="AB527" s="424">
        <f t="shared" si="178"/>
        <v>1.5916157281026244E-12</v>
      </c>
      <c r="AC527" s="424">
        <f t="shared" si="179"/>
        <v>0</v>
      </c>
    </row>
    <row r="528" spans="1:29" s="149" customFormat="1" ht="14.25" customHeight="1" x14ac:dyDescent="0.25">
      <c r="A528" s="163"/>
      <c r="B528" s="141"/>
      <c r="C528" s="146"/>
      <c r="D528" s="357" t="s">
        <v>518</v>
      </c>
      <c r="E528" s="147"/>
      <c r="F528" s="205"/>
      <c r="G528" s="144"/>
      <c r="H528" s="148"/>
      <c r="I528" s="148"/>
      <c r="J528" s="148"/>
      <c r="N528" s="139"/>
      <c r="O528" s="139"/>
      <c r="P528" s="140"/>
      <c r="R528" s="211"/>
      <c r="S528" s="211"/>
      <c r="T528" s="443"/>
      <c r="U528" s="445"/>
      <c r="V528" s="443"/>
      <c r="W528" s="212"/>
      <c r="X528" s="231">
        <f t="shared" si="175"/>
        <v>0</v>
      </c>
      <c r="Y528" s="231">
        <f t="shared" si="176"/>
        <v>0</v>
      </c>
      <c r="Z528" s="232">
        <f t="shared" si="177"/>
        <v>0</v>
      </c>
      <c r="AA528" s="22">
        <f t="shared" si="174"/>
        <v>0</v>
      </c>
      <c r="AB528" s="424">
        <f t="shared" si="178"/>
        <v>0</v>
      </c>
      <c r="AC528" s="424">
        <f t="shared" si="179"/>
        <v>0</v>
      </c>
    </row>
    <row r="529" spans="1:29" s="149" customFormat="1" ht="14.25" customHeight="1" x14ac:dyDescent="0.25">
      <c r="A529" s="163"/>
      <c r="B529" s="167"/>
      <c r="C529" s="146"/>
      <c r="D529" s="358" t="s">
        <v>531</v>
      </c>
      <c r="E529" s="147"/>
      <c r="F529" s="205">
        <v>58.3</v>
      </c>
      <c r="G529" s="144"/>
      <c r="H529" s="148"/>
      <c r="I529" s="148"/>
      <c r="J529" s="148"/>
      <c r="N529" s="139"/>
      <c r="O529" s="139"/>
      <c r="P529" s="140"/>
      <c r="R529" s="211">
        <f>$R$527/$F$527*F529</f>
        <v>121716.45869565217</v>
      </c>
      <c r="S529" s="211">
        <f>19609.3/138*F529</f>
        <v>8284.218768115943</v>
      </c>
      <c r="T529" s="443">
        <f>$T$527/$F$527*F529</f>
        <v>8134.3624202898545</v>
      </c>
      <c r="U529" s="445"/>
      <c r="V529" s="443">
        <f t="shared" ref="V529:V590" si="198">R529-T529</f>
        <v>113582.09627536232</v>
      </c>
      <c r="W529" s="212">
        <f>SUM(R529-S529)</f>
        <v>113432.23992753623</v>
      </c>
      <c r="X529" s="231">
        <f t="shared" si="175"/>
        <v>8284.218768115943</v>
      </c>
      <c r="Y529" s="231">
        <f t="shared" si="176"/>
        <v>0</v>
      </c>
      <c r="Z529" s="232">
        <f t="shared" si="177"/>
        <v>113432.23992753623</v>
      </c>
      <c r="AA529" s="22">
        <f t="shared" si="174"/>
        <v>0</v>
      </c>
      <c r="AB529" s="424">
        <f t="shared" si="178"/>
        <v>0</v>
      </c>
      <c r="AC529" s="424">
        <f t="shared" si="179"/>
        <v>0</v>
      </c>
    </row>
    <row r="530" spans="1:29" s="149" customFormat="1" ht="14.25" customHeight="1" x14ac:dyDescent="0.25">
      <c r="A530" s="163"/>
      <c r="B530" s="167"/>
      <c r="C530" s="146"/>
      <c r="D530" s="358" t="s">
        <v>592</v>
      </c>
      <c r="E530" s="147"/>
      <c r="F530" s="205">
        <v>39</v>
      </c>
      <c r="G530" s="144"/>
      <c r="H530" s="148"/>
      <c r="I530" s="148"/>
      <c r="J530" s="148"/>
      <c r="N530" s="139"/>
      <c r="O530" s="139"/>
      <c r="P530" s="140"/>
      <c r="R530" s="211">
        <f t="shared" ref="R530:R531" si="199">$R$527/$F$527*F530</f>
        <v>81422.673913043487</v>
      </c>
      <c r="S530" s="211">
        <f t="shared" ref="S530:S531" si="200">19609.3/138*F530</f>
        <v>5541.7586956521745</v>
      </c>
      <c r="T530" s="443">
        <f t="shared" ref="T530:T531" si="201">$T$527/$F$527*F530</f>
        <v>5441.5117391304348</v>
      </c>
      <c r="U530" s="445"/>
      <c r="V530" s="443">
        <f t="shared" si="198"/>
        <v>75981.16217391305</v>
      </c>
      <c r="W530" s="212">
        <f t="shared" ref="W530:W531" si="202">SUM(R530-S530)</f>
        <v>75880.915217391317</v>
      </c>
      <c r="X530" s="231">
        <f t="shared" si="175"/>
        <v>5541.7586956521745</v>
      </c>
      <c r="Y530" s="231">
        <f t="shared" si="176"/>
        <v>0</v>
      </c>
      <c r="Z530" s="232">
        <f t="shared" si="177"/>
        <v>75880.915217391317</v>
      </c>
      <c r="AA530" s="22">
        <f t="shared" si="174"/>
        <v>0</v>
      </c>
      <c r="AB530" s="424">
        <f t="shared" si="178"/>
        <v>0</v>
      </c>
      <c r="AC530" s="424">
        <f t="shared" si="179"/>
        <v>0</v>
      </c>
    </row>
    <row r="531" spans="1:29" s="149" customFormat="1" ht="14.25" customHeight="1" x14ac:dyDescent="0.25">
      <c r="A531" s="163"/>
      <c r="B531" s="167"/>
      <c r="C531" s="146"/>
      <c r="D531" s="358" t="s">
        <v>523</v>
      </c>
      <c r="E531" s="147"/>
      <c r="F531" s="205">
        <v>40.700000000000003</v>
      </c>
      <c r="G531" s="144"/>
      <c r="H531" s="148"/>
      <c r="I531" s="148"/>
      <c r="J531" s="148"/>
      <c r="N531" s="139"/>
      <c r="O531" s="139"/>
      <c r="P531" s="140"/>
      <c r="R531" s="211">
        <f t="shared" si="199"/>
        <v>84971.86739130436</v>
      </c>
      <c r="S531" s="211">
        <f t="shared" si="200"/>
        <v>5783.3225362318844</v>
      </c>
      <c r="T531" s="443">
        <f t="shared" si="201"/>
        <v>5678.7058405797097</v>
      </c>
      <c r="U531" s="445"/>
      <c r="V531" s="443">
        <f t="shared" si="198"/>
        <v>79293.161550724646</v>
      </c>
      <c r="W531" s="212">
        <f t="shared" si="202"/>
        <v>79188.544855072483</v>
      </c>
      <c r="X531" s="231">
        <f t="shared" si="175"/>
        <v>5783.3225362318844</v>
      </c>
      <c r="Y531" s="231">
        <f t="shared" si="176"/>
        <v>0</v>
      </c>
      <c r="Z531" s="232">
        <f t="shared" si="177"/>
        <v>79188.544855072483</v>
      </c>
      <c r="AA531" s="22">
        <f t="shared" si="174"/>
        <v>0</v>
      </c>
      <c r="AB531" s="424">
        <f t="shared" si="178"/>
        <v>0</v>
      </c>
      <c r="AC531" s="424">
        <f t="shared" si="179"/>
        <v>0</v>
      </c>
    </row>
    <row r="532" spans="1:29" s="149" customFormat="1" ht="14.25" customHeight="1" x14ac:dyDescent="0.25">
      <c r="A532" s="152"/>
      <c r="B532" s="143"/>
      <c r="C532" s="154"/>
      <c r="D532" s="143"/>
      <c r="E532" s="155"/>
      <c r="F532" s="206"/>
      <c r="G532" s="156"/>
      <c r="H532" s="157"/>
      <c r="I532" s="157"/>
      <c r="J532" s="157"/>
      <c r="K532" s="171"/>
      <c r="L532" s="171"/>
      <c r="M532" s="171"/>
      <c r="N532" s="158"/>
      <c r="O532" s="158"/>
      <c r="P532" s="159"/>
      <c r="Q532" s="171"/>
      <c r="R532" s="213"/>
      <c r="S532" s="213"/>
      <c r="T532" s="443"/>
      <c r="U532" s="445"/>
      <c r="V532" s="443"/>
      <c r="W532" s="214"/>
      <c r="X532" s="231">
        <f t="shared" si="175"/>
        <v>0</v>
      </c>
      <c r="Y532" s="231">
        <f t="shared" si="176"/>
        <v>0</v>
      </c>
      <c r="Z532" s="232">
        <f t="shared" si="177"/>
        <v>0</v>
      </c>
      <c r="AA532" s="22">
        <f t="shared" si="174"/>
        <v>0</v>
      </c>
      <c r="AB532" s="424">
        <f t="shared" si="178"/>
        <v>0</v>
      </c>
      <c r="AC532" s="424">
        <f t="shared" si="179"/>
        <v>0</v>
      </c>
    </row>
    <row r="533" spans="1:29" s="257" customFormat="1" ht="14.25" customHeight="1" x14ac:dyDescent="0.25">
      <c r="A533" s="224">
        <f>SUM(A527+1)</f>
        <v>126</v>
      </c>
      <c r="B533" s="225" t="s">
        <v>219</v>
      </c>
      <c r="C533" s="226">
        <v>450</v>
      </c>
      <c r="D533" s="225" t="s">
        <v>220</v>
      </c>
      <c r="E533" s="454">
        <v>3</v>
      </c>
      <c r="F533" s="252">
        <v>17.899999999999999</v>
      </c>
      <c r="G533" s="248">
        <v>1916</v>
      </c>
      <c r="H533" s="237">
        <f>SUM(Лист1!G143)</f>
        <v>26064.78</v>
      </c>
      <c r="I533" s="237">
        <f>SUM(Лист1!H143)</f>
        <v>0</v>
      </c>
      <c r="J533" s="237">
        <f>SUM(Лист1!I143)</f>
        <v>0</v>
      </c>
      <c r="K533" s="261"/>
      <c r="L533" s="261"/>
      <c r="M533" s="261"/>
      <c r="N533" s="261"/>
      <c r="O533" s="261"/>
      <c r="P533" s="261"/>
      <c r="Q533" s="261"/>
      <c r="R533" s="231">
        <f t="shared" si="73"/>
        <v>26064.78</v>
      </c>
      <c r="S533" s="231">
        <f>SUM(I533+O533-J533)</f>
        <v>0</v>
      </c>
      <c r="T533" s="443"/>
      <c r="U533" s="445"/>
      <c r="V533" s="443">
        <f t="shared" si="198"/>
        <v>26064.78</v>
      </c>
      <c r="W533" s="238">
        <f t="shared" si="181"/>
        <v>26064.78</v>
      </c>
      <c r="X533" s="231">
        <f t="shared" si="175"/>
        <v>0</v>
      </c>
      <c r="Y533" s="231">
        <f t="shared" si="176"/>
        <v>0</v>
      </c>
      <c r="Z533" s="232">
        <f t="shared" si="177"/>
        <v>26064.78</v>
      </c>
      <c r="AA533" s="22">
        <f t="shared" si="174"/>
        <v>0</v>
      </c>
      <c r="AB533" s="424">
        <f t="shared" si="178"/>
        <v>0</v>
      </c>
      <c r="AC533" s="424">
        <f t="shared" si="179"/>
        <v>0</v>
      </c>
    </row>
    <row r="534" spans="1:29" s="149" customFormat="1" ht="14.25" customHeight="1" x14ac:dyDescent="0.25">
      <c r="A534" s="163"/>
      <c r="B534" s="167"/>
      <c r="C534" s="146"/>
      <c r="D534" s="357" t="s">
        <v>474</v>
      </c>
      <c r="E534" s="169"/>
      <c r="F534" s="139">
        <v>17.899999999999999</v>
      </c>
      <c r="G534" s="249"/>
      <c r="H534" s="148"/>
      <c r="I534" s="148"/>
      <c r="J534" s="148"/>
      <c r="R534" s="211"/>
      <c r="S534" s="211"/>
      <c r="T534" s="443"/>
      <c r="U534" s="445"/>
      <c r="V534" s="443"/>
      <c r="W534" s="212"/>
      <c r="X534" s="231">
        <f t="shared" si="175"/>
        <v>0</v>
      </c>
      <c r="Y534" s="231">
        <f t="shared" si="176"/>
        <v>0</v>
      </c>
      <c r="Z534" s="232">
        <f t="shared" si="177"/>
        <v>0</v>
      </c>
      <c r="AA534" s="22">
        <f t="shared" si="174"/>
        <v>0</v>
      </c>
      <c r="AB534" s="424">
        <f t="shared" si="178"/>
        <v>0</v>
      </c>
      <c r="AC534" s="424">
        <f t="shared" si="179"/>
        <v>0</v>
      </c>
    </row>
    <row r="535" spans="1:29" s="149" customFormat="1" ht="14.25" customHeight="1" x14ac:dyDescent="0.25">
      <c r="A535" s="163"/>
      <c r="B535" s="167"/>
      <c r="C535" s="146"/>
      <c r="D535" s="167"/>
      <c r="E535" s="169"/>
      <c r="F535" s="158"/>
      <c r="G535" s="142"/>
      <c r="H535" s="157"/>
      <c r="I535" s="157"/>
      <c r="J535" s="157"/>
      <c r="K535" s="171"/>
      <c r="L535" s="171"/>
      <c r="M535" s="171"/>
      <c r="N535" s="171"/>
      <c r="O535" s="171"/>
      <c r="P535" s="171"/>
      <c r="Q535" s="171"/>
      <c r="R535" s="213"/>
      <c r="S535" s="213"/>
      <c r="T535" s="443"/>
      <c r="U535" s="445"/>
      <c r="V535" s="443"/>
      <c r="W535" s="214"/>
      <c r="X535" s="231">
        <f t="shared" si="175"/>
        <v>0</v>
      </c>
      <c r="Y535" s="231">
        <f t="shared" si="176"/>
        <v>0</v>
      </c>
      <c r="Z535" s="232">
        <f t="shared" si="177"/>
        <v>0</v>
      </c>
      <c r="AA535" s="22">
        <f t="shared" si="174"/>
        <v>0</v>
      </c>
      <c r="AB535" s="424">
        <f t="shared" si="178"/>
        <v>0</v>
      </c>
      <c r="AC535" s="424">
        <f t="shared" si="179"/>
        <v>0</v>
      </c>
    </row>
    <row r="536" spans="1:29" s="257" customFormat="1" ht="14.25" customHeight="1" x14ac:dyDescent="0.25">
      <c r="A536" s="224">
        <f>SUM(A533+1)</f>
        <v>127</v>
      </c>
      <c r="B536" s="225" t="s">
        <v>221</v>
      </c>
      <c r="C536" s="226">
        <v>451</v>
      </c>
      <c r="D536" s="225" t="s">
        <v>220</v>
      </c>
      <c r="E536" s="454">
        <v>15</v>
      </c>
      <c r="F536" s="252">
        <v>52.8</v>
      </c>
      <c r="G536" s="248">
        <v>1922</v>
      </c>
      <c r="H536" s="237">
        <f>SUM(Лист1!G144)</f>
        <v>96338.98</v>
      </c>
      <c r="I536" s="237">
        <f>SUM(Лист1!H144)</f>
        <v>8545.42</v>
      </c>
      <c r="J536" s="237">
        <f>SUM(Лист1!I144)</f>
        <v>55.34</v>
      </c>
      <c r="K536" s="261"/>
      <c r="L536" s="261"/>
      <c r="M536" s="261"/>
      <c r="N536" s="261"/>
      <c r="O536" s="261"/>
      <c r="P536" s="261"/>
      <c r="Q536" s="261"/>
      <c r="R536" s="231">
        <f t="shared" si="73"/>
        <v>96338.98</v>
      </c>
      <c r="S536" s="231">
        <f>SUM(I536+O536-J536)</f>
        <v>8490.08</v>
      </c>
      <c r="T536" s="443">
        <f>S536-3*U536</f>
        <v>8324.06</v>
      </c>
      <c r="U536" s="445">
        <f t="shared" ref="U536:U590" si="203">J536+P536</f>
        <v>55.34</v>
      </c>
      <c r="V536" s="443">
        <f t="shared" si="198"/>
        <v>88014.92</v>
      </c>
      <c r="W536" s="238">
        <f t="shared" si="181"/>
        <v>87848.9</v>
      </c>
      <c r="X536" s="231">
        <f t="shared" si="175"/>
        <v>8434.74</v>
      </c>
      <c r="Y536" s="231">
        <f t="shared" si="176"/>
        <v>55.34</v>
      </c>
      <c r="Z536" s="232">
        <f t="shared" si="177"/>
        <v>87904.239999999991</v>
      </c>
      <c r="AA536" s="22">
        <f t="shared" si="174"/>
        <v>0</v>
      </c>
      <c r="AB536" s="424">
        <f t="shared" si="178"/>
        <v>1.4210854715202004E-13</v>
      </c>
      <c r="AC536" s="424">
        <f t="shared" si="179"/>
        <v>0</v>
      </c>
    </row>
    <row r="537" spans="1:29" s="149" customFormat="1" ht="14.25" customHeight="1" x14ac:dyDescent="0.25">
      <c r="A537" s="163"/>
      <c r="B537" s="167"/>
      <c r="C537" s="146"/>
      <c r="D537" s="357" t="s">
        <v>518</v>
      </c>
      <c r="E537" s="169"/>
      <c r="F537" s="139"/>
      <c r="G537" s="249"/>
      <c r="H537" s="148"/>
      <c r="I537" s="148"/>
      <c r="J537" s="148"/>
      <c r="R537" s="211"/>
      <c r="S537" s="211"/>
      <c r="T537" s="443"/>
      <c r="U537" s="445"/>
      <c r="V537" s="443"/>
      <c r="W537" s="212"/>
      <c r="X537" s="231">
        <f t="shared" si="175"/>
        <v>0</v>
      </c>
      <c r="Y537" s="231">
        <f t="shared" si="176"/>
        <v>0</v>
      </c>
      <c r="Z537" s="232">
        <f t="shared" si="177"/>
        <v>0</v>
      </c>
      <c r="AA537" s="22">
        <f t="shared" si="174"/>
        <v>0</v>
      </c>
      <c r="AB537" s="424">
        <f t="shared" si="178"/>
        <v>0</v>
      </c>
      <c r="AC537" s="424">
        <f t="shared" si="179"/>
        <v>0</v>
      </c>
    </row>
    <row r="538" spans="1:29" s="149" customFormat="1" ht="14.25" customHeight="1" x14ac:dyDescent="0.25">
      <c r="A538" s="163"/>
      <c r="B538" s="167"/>
      <c r="C538" s="146"/>
      <c r="D538" s="358" t="s">
        <v>531</v>
      </c>
      <c r="E538" s="169"/>
      <c r="F538" s="139">
        <v>52.8</v>
      </c>
      <c r="G538" s="249"/>
      <c r="H538" s="148"/>
      <c r="I538" s="148"/>
      <c r="J538" s="148"/>
      <c r="R538" s="211"/>
      <c r="S538" s="211"/>
      <c r="T538" s="443"/>
      <c r="U538" s="445"/>
      <c r="V538" s="443"/>
      <c r="W538" s="212"/>
      <c r="X538" s="231">
        <f t="shared" si="175"/>
        <v>0</v>
      </c>
      <c r="Y538" s="231">
        <f t="shared" si="176"/>
        <v>0</v>
      </c>
      <c r="Z538" s="232">
        <f t="shared" si="177"/>
        <v>0</v>
      </c>
      <c r="AA538" s="22">
        <f t="shared" si="174"/>
        <v>0</v>
      </c>
      <c r="AB538" s="424">
        <f t="shared" si="178"/>
        <v>0</v>
      </c>
      <c r="AC538" s="424">
        <f t="shared" si="179"/>
        <v>0</v>
      </c>
    </row>
    <row r="539" spans="1:29" s="149" customFormat="1" ht="14.25" customHeight="1" x14ac:dyDescent="0.25">
      <c r="A539" s="152"/>
      <c r="B539" s="143"/>
      <c r="C539" s="154"/>
      <c r="D539" s="143"/>
      <c r="E539" s="170"/>
      <c r="F539" s="158"/>
      <c r="G539" s="142"/>
      <c r="H539" s="157"/>
      <c r="I539" s="157"/>
      <c r="J539" s="157"/>
      <c r="K539" s="171"/>
      <c r="L539" s="171"/>
      <c r="M539" s="171"/>
      <c r="N539" s="171"/>
      <c r="O539" s="171"/>
      <c r="P539" s="171"/>
      <c r="Q539" s="171"/>
      <c r="R539" s="213"/>
      <c r="S539" s="213"/>
      <c r="T539" s="443"/>
      <c r="U539" s="445"/>
      <c r="V539" s="443"/>
      <c r="W539" s="214"/>
      <c r="X539" s="231">
        <f t="shared" si="175"/>
        <v>0</v>
      </c>
      <c r="Y539" s="231">
        <f t="shared" si="176"/>
        <v>0</v>
      </c>
      <c r="Z539" s="232">
        <f t="shared" si="177"/>
        <v>0</v>
      </c>
      <c r="AA539" s="22">
        <f t="shared" si="174"/>
        <v>0</v>
      </c>
      <c r="AB539" s="424">
        <f t="shared" si="178"/>
        <v>0</v>
      </c>
      <c r="AC539" s="424">
        <f t="shared" si="179"/>
        <v>0</v>
      </c>
    </row>
    <row r="540" spans="1:29" s="257" customFormat="1" ht="14.25" customHeight="1" x14ac:dyDescent="0.25">
      <c r="A540" s="224">
        <f>SUM(A536+1)</f>
        <v>128</v>
      </c>
      <c r="B540" s="225" t="s">
        <v>222</v>
      </c>
      <c r="C540" s="226">
        <v>454</v>
      </c>
      <c r="D540" s="225" t="s">
        <v>171</v>
      </c>
      <c r="E540" s="454">
        <v>9</v>
      </c>
      <c r="F540" s="252">
        <v>41.32</v>
      </c>
      <c r="G540" s="248">
        <v>1939</v>
      </c>
      <c r="H540" s="237">
        <f>SUM(Лист1!G145)</f>
        <v>197912.27</v>
      </c>
      <c r="I540" s="237">
        <f>SUM(Лист1!H145)</f>
        <v>58837.35</v>
      </c>
      <c r="J540" s="237">
        <f>SUM(Лист1!I145)</f>
        <v>234.98</v>
      </c>
      <c r="K540" s="261"/>
      <c r="L540" s="261"/>
      <c r="M540" s="261"/>
      <c r="N540" s="261"/>
      <c r="O540" s="261"/>
      <c r="P540" s="261"/>
      <c r="Q540" s="261"/>
      <c r="R540" s="231">
        <f t="shared" si="73"/>
        <v>197912.27</v>
      </c>
      <c r="S540" s="231">
        <f>SUM(I540+O540-J540)</f>
        <v>58602.369999999995</v>
      </c>
      <c r="T540" s="443">
        <f>S540-3*U540</f>
        <v>57897.429999999993</v>
      </c>
      <c r="U540" s="445">
        <f t="shared" si="203"/>
        <v>234.98</v>
      </c>
      <c r="V540" s="443">
        <f t="shared" si="198"/>
        <v>140014.84</v>
      </c>
      <c r="W540" s="238">
        <f t="shared" si="181"/>
        <v>139309.9</v>
      </c>
      <c r="X540" s="231">
        <f t="shared" si="175"/>
        <v>58367.389999999992</v>
      </c>
      <c r="Y540" s="231">
        <f t="shared" si="176"/>
        <v>234.98</v>
      </c>
      <c r="Z540" s="232">
        <f t="shared" si="177"/>
        <v>139544.88</v>
      </c>
      <c r="AA540" s="22">
        <f t="shared" si="174"/>
        <v>0</v>
      </c>
      <c r="AB540" s="424">
        <f t="shared" si="178"/>
        <v>3.2116531656356528E-12</v>
      </c>
      <c r="AC540" s="424">
        <f t="shared" si="179"/>
        <v>0</v>
      </c>
    </row>
    <row r="541" spans="1:29" s="149" customFormat="1" ht="14.25" customHeight="1" x14ac:dyDescent="0.25">
      <c r="A541" s="163"/>
      <c r="B541" s="167"/>
      <c r="C541" s="146"/>
      <c r="D541" s="357" t="s">
        <v>501</v>
      </c>
      <c r="E541" s="169"/>
      <c r="F541" s="139">
        <v>41.32</v>
      </c>
      <c r="G541" s="249"/>
      <c r="H541" s="148"/>
      <c r="I541" s="148"/>
      <c r="J541" s="148"/>
      <c r="R541" s="211"/>
      <c r="S541" s="211"/>
      <c r="T541" s="443"/>
      <c r="U541" s="445"/>
      <c r="V541" s="443"/>
      <c r="W541" s="212"/>
      <c r="X541" s="231">
        <f t="shared" si="175"/>
        <v>0</v>
      </c>
      <c r="Y541" s="231">
        <f t="shared" si="176"/>
        <v>0</v>
      </c>
      <c r="Z541" s="232">
        <f t="shared" si="177"/>
        <v>0</v>
      </c>
      <c r="AA541" s="22">
        <f t="shared" si="174"/>
        <v>0</v>
      </c>
      <c r="AB541" s="424">
        <f t="shared" si="178"/>
        <v>0</v>
      </c>
      <c r="AC541" s="424">
        <f t="shared" si="179"/>
        <v>0</v>
      </c>
    </row>
    <row r="542" spans="1:29" s="149" customFormat="1" ht="14.25" customHeight="1" x14ac:dyDescent="0.25">
      <c r="A542" s="152"/>
      <c r="B542" s="143"/>
      <c r="C542" s="154"/>
      <c r="D542" s="143"/>
      <c r="E542" s="170"/>
      <c r="F542" s="158"/>
      <c r="G542" s="142"/>
      <c r="H542" s="157"/>
      <c r="I542" s="157"/>
      <c r="J542" s="157"/>
      <c r="K542" s="171"/>
      <c r="L542" s="171"/>
      <c r="M542" s="171"/>
      <c r="N542" s="171"/>
      <c r="O542" s="171"/>
      <c r="P542" s="171"/>
      <c r="Q542" s="171"/>
      <c r="R542" s="213"/>
      <c r="S542" s="213"/>
      <c r="T542" s="443"/>
      <c r="U542" s="445"/>
      <c r="V542" s="443"/>
      <c r="W542" s="214"/>
      <c r="X542" s="231">
        <f t="shared" si="175"/>
        <v>0</v>
      </c>
      <c r="Y542" s="231">
        <f t="shared" si="176"/>
        <v>0</v>
      </c>
      <c r="Z542" s="232">
        <f t="shared" si="177"/>
        <v>0</v>
      </c>
      <c r="AA542" s="22">
        <f t="shared" si="174"/>
        <v>0</v>
      </c>
      <c r="AB542" s="424">
        <f t="shared" si="178"/>
        <v>0</v>
      </c>
      <c r="AC542" s="424">
        <f t="shared" si="179"/>
        <v>0</v>
      </c>
    </row>
    <row r="543" spans="1:29" s="257" customFormat="1" ht="14.25" customHeight="1" x14ac:dyDescent="0.25">
      <c r="A543" s="224">
        <f>SUM(A540+1)</f>
        <v>129</v>
      </c>
      <c r="B543" s="225" t="s">
        <v>223</v>
      </c>
      <c r="C543" s="226">
        <v>455</v>
      </c>
      <c r="D543" s="225" t="s">
        <v>176</v>
      </c>
      <c r="E543" s="454">
        <v>14</v>
      </c>
      <c r="F543" s="252">
        <f>F544</f>
        <v>72.400000000000006</v>
      </c>
      <c r="G543" s="248">
        <v>1967</v>
      </c>
      <c r="H543" s="237">
        <f>SUM(Лист1!G146)</f>
        <v>279739.11</v>
      </c>
      <c r="I543" s="237">
        <f>SUM(Лист1!H146)</f>
        <v>107251.09</v>
      </c>
      <c r="J543" s="237">
        <f>SUM(Лист1!I146)</f>
        <v>190.15</v>
      </c>
      <c r="K543" s="261"/>
      <c r="L543" s="261"/>
      <c r="M543" s="261"/>
      <c r="N543" s="259">
        <v>266.11</v>
      </c>
      <c r="O543" s="259">
        <v>234.57</v>
      </c>
      <c r="P543" s="259">
        <v>0.4</v>
      </c>
      <c r="Q543" s="261"/>
      <c r="R543" s="231">
        <f t="shared" ref="R543" si="204">SUM(H543+N543)</f>
        <v>280005.21999999997</v>
      </c>
      <c r="S543" s="231">
        <f>SUM(I543+O543-J543)</f>
        <v>107295.51000000001</v>
      </c>
      <c r="T543" s="443">
        <f>S543-3*U543</f>
        <v>106723.86000000002</v>
      </c>
      <c r="U543" s="445">
        <f t="shared" si="203"/>
        <v>190.55</v>
      </c>
      <c r="V543" s="443">
        <f t="shared" si="198"/>
        <v>173281.35999999996</v>
      </c>
      <c r="W543" s="238">
        <f t="shared" si="181"/>
        <v>172709.70999999996</v>
      </c>
      <c r="X543" s="231">
        <f t="shared" si="175"/>
        <v>107104.96000000001</v>
      </c>
      <c r="Y543" s="231">
        <f t="shared" si="176"/>
        <v>190.55</v>
      </c>
      <c r="Z543" s="232">
        <f t="shared" si="177"/>
        <v>172900.25999999995</v>
      </c>
      <c r="AA543" s="22">
        <f t="shared" si="174"/>
        <v>0</v>
      </c>
      <c r="AB543" s="424">
        <f t="shared" si="178"/>
        <v>2.8990143619012088E-12</v>
      </c>
      <c r="AC543" s="424">
        <f t="shared" si="179"/>
        <v>0</v>
      </c>
    </row>
    <row r="544" spans="1:29" s="269" customFormat="1" ht="14.25" customHeight="1" x14ac:dyDescent="0.25">
      <c r="A544" s="272"/>
      <c r="B544" s="276"/>
      <c r="C544" s="266"/>
      <c r="D544" s="353" t="s">
        <v>502</v>
      </c>
      <c r="E544" s="457"/>
      <c r="F544" s="268">
        <v>72.400000000000006</v>
      </c>
      <c r="G544" s="278"/>
      <c r="H544" s="151"/>
      <c r="I544" s="151"/>
      <c r="J544" s="151"/>
      <c r="N544" s="315"/>
      <c r="O544" s="315"/>
      <c r="P544" s="315"/>
      <c r="R544" s="274"/>
      <c r="S544" s="274"/>
      <c r="T544" s="443"/>
      <c r="U544" s="445"/>
      <c r="V544" s="443"/>
      <c r="W544" s="295"/>
      <c r="X544" s="231">
        <f t="shared" si="175"/>
        <v>0</v>
      </c>
      <c r="Y544" s="231">
        <f t="shared" si="176"/>
        <v>0</v>
      </c>
      <c r="Z544" s="232">
        <f t="shared" si="177"/>
        <v>0</v>
      </c>
      <c r="AA544" s="22">
        <f t="shared" si="174"/>
        <v>0</v>
      </c>
      <c r="AB544" s="424">
        <f t="shared" si="178"/>
        <v>0</v>
      </c>
      <c r="AC544" s="424">
        <f t="shared" si="179"/>
        <v>0</v>
      </c>
    </row>
    <row r="545" spans="1:29" s="149" customFormat="1" ht="14.25" customHeight="1" x14ac:dyDescent="0.25">
      <c r="A545" s="152"/>
      <c r="B545" s="143"/>
      <c r="C545" s="154"/>
      <c r="D545" s="143"/>
      <c r="E545" s="170"/>
      <c r="F545" s="158"/>
      <c r="G545" s="142"/>
      <c r="H545" s="157"/>
      <c r="I545" s="157"/>
      <c r="J545" s="157"/>
      <c r="K545" s="171"/>
      <c r="L545" s="171"/>
      <c r="M545" s="171"/>
      <c r="N545" s="159"/>
      <c r="O545" s="159"/>
      <c r="P545" s="159"/>
      <c r="Q545" s="171"/>
      <c r="R545" s="213"/>
      <c r="S545" s="213"/>
      <c r="T545" s="443"/>
      <c r="U545" s="445"/>
      <c r="V545" s="443"/>
      <c r="W545" s="214"/>
      <c r="X545" s="231">
        <f t="shared" si="175"/>
        <v>0</v>
      </c>
      <c r="Y545" s="231">
        <f t="shared" si="176"/>
        <v>0</v>
      </c>
      <c r="Z545" s="232">
        <f t="shared" si="177"/>
        <v>0</v>
      </c>
      <c r="AA545" s="22">
        <f t="shared" si="174"/>
        <v>0</v>
      </c>
      <c r="AB545" s="424">
        <f t="shared" si="178"/>
        <v>0</v>
      </c>
      <c r="AC545" s="424">
        <f t="shared" si="179"/>
        <v>0</v>
      </c>
    </row>
    <row r="546" spans="1:29" s="560" customFormat="1" ht="14.25" hidden="1" customHeight="1" x14ac:dyDescent="0.25">
      <c r="A546" s="539">
        <f>SUM(A543+1)</f>
        <v>130</v>
      </c>
      <c r="B546" s="551" t="s">
        <v>224</v>
      </c>
      <c r="C546" s="552">
        <v>456</v>
      </c>
      <c r="D546" s="551" t="s">
        <v>225</v>
      </c>
      <c r="E546" s="553">
        <v>55</v>
      </c>
      <c r="F546" s="554">
        <f>F547</f>
        <v>25.3</v>
      </c>
      <c r="G546" s="555"/>
      <c r="H546" s="556"/>
      <c r="I546" s="556"/>
      <c r="J546" s="556"/>
      <c r="K546" s="557"/>
      <c r="L546" s="557"/>
      <c r="M546" s="557"/>
      <c r="N546" s="557"/>
      <c r="O546" s="557"/>
      <c r="P546" s="557"/>
      <c r="Q546" s="557"/>
      <c r="R546" s="558"/>
      <c r="S546" s="524"/>
      <c r="T546" s="521"/>
      <c r="U546" s="522"/>
      <c r="V546" s="521"/>
      <c r="W546" s="559">
        <f t="shared" si="181"/>
        <v>0</v>
      </c>
      <c r="X546" s="524">
        <f t="shared" si="175"/>
        <v>0</v>
      </c>
      <c r="Y546" s="524">
        <f t="shared" si="176"/>
        <v>0</v>
      </c>
      <c r="Z546" s="525">
        <f t="shared" si="177"/>
        <v>0</v>
      </c>
      <c r="AA546" s="526">
        <f t="shared" si="174"/>
        <v>0</v>
      </c>
      <c r="AB546" s="527">
        <f t="shared" si="178"/>
        <v>0</v>
      </c>
      <c r="AC546" s="527">
        <f t="shared" si="179"/>
        <v>0</v>
      </c>
    </row>
    <row r="547" spans="1:29" s="149" customFormat="1" ht="14.25" hidden="1" customHeight="1" x14ac:dyDescent="0.25">
      <c r="A547" s="163"/>
      <c r="B547" s="167"/>
      <c r="C547" s="146"/>
      <c r="D547" s="487" t="s">
        <v>507</v>
      </c>
      <c r="E547" s="169"/>
      <c r="F547" s="139">
        <v>25.3</v>
      </c>
      <c r="G547" s="249"/>
      <c r="H547" s="148"/>
      <c r="I547" s="148"/>
      <c r="J547" s="148"/>
      <c r="R547" s="211"/>
      <c r="S547" s="211"/>
      <c r="T547" s="443"/>
      <c r="U547" s="445"/>
      <c r="V547" s="443"/>
      <c r="W547" s="212"/>
      <c r="X547" s="231">
        <f t="shared" si="175"/>
        <v>0</v>
      </c>
      <c r="Y547" s="231">
        <f t="shared" si="176"/>
        <v>0</v>
      </c>
      <c r="Z547" s="232">
        <f t="shared" si="177"/>
        <v>0</v>
      </c>
      <c r="AA547" s="22">
        <f t="shared" si="174"/>
        <v>0</v>
      </c>
      <c r="AB547" s="424">
        <f t="shared" si="178"/>
        <v>0</v>
      </c>
      <c r="AC547" s="424">
        <f t="shared" si="179"/>
        <v>0</v>
      </c>
    </row>
    <row r="548" spans="1:29" s="149" customFormat="1" ht="14.25" hidden="1" customHeight="1" x14ac:dyDescent="0.25">
      <c r="A548" s="152"/>
      <c r="B548" s="143"/>
      <c r="C548" s="154"/>
      <c r="D548" s="143"/>
      <c r="E548" s="170"/>
      <c r="F548" s="158"/>
      <c r="G548" s="142"/>
      <c r="H548" s="157"/>
      <c r="I548" s="157"/>
      <c r="J548" s="157"/>
      <c r="K548" s="171"/>
      <c r="L548" s="171"/>
      <c r="M548" s="171"/>
      <c r="N548" s="171"/>
      <c r="O548" s="171"/>
      <c r="P548" s="171"/>
      <c r="Q548" s="171"/>
      <c r="R548" s="213"/>
      <c r="S548" s="213"/>
      <c r="T548" s="443"/>
      <c r="U548" s="445"/>
      <c r="V548" s="443"/>
      <c r="W548" s="214"/>
      <c r="X548" s="231">
        <f t="shared" si="175"/>
        <v>0</v>
      </c>
      <c r="Y548" s="231">
        <f t="shared" si="176"/>
        <v>0</v>
      </c>
      <c r="Z548" s="232">
        <f t="shared" si="177"/>
        <v>0</v>
      </c>
      <c r="AA548" s="22">
        <f t="shared" si="174"/>
        <v>0</v>
      </c>
      <c r="AB548" s="424">
        <f t="shared" si="178"/>
        <v>0</v>
      </c>
      <c r="AC548" s="424">
        <f t="shared" si="179"/>
        <v>0</v>
      </c>
    </row>
    <row r="549" spans="1:29" s="257" customFormat="1" ht="14.25" customHeight="1" x14ac:dyDescent="0.25">
      <c r="A549" s="224">
        <f>SUM(A543+1)</f>
        <v>130</v>
      </c>
      <c r="B549" s="225" t="s">
        <v>226</v>
      </c>
      <c r="C549" s="226">
        <v>458</v>
      </c>
      <c r="D549" s="225" t="s">
        <v>171</v>
      </c>
      <c r="E549" s="454">
        <v>35</v>
      </c>
      <c r="F549" s="245">
        <f>F550</f>
        <v>56</v>
      </c>
      <c r="G549" s="258">
        <v>1961</v>
      </c>
      <c r="H549" s="237">
        <f>SUM(Лист1!G148)</f>
        <v>57390.62</v>
      </c>
      <c r="I549" s="237">
        <f>SUM(Лист1!H148)</f>
        <v>16980.18</v>
      </c>
      <c r="J549" s="237">
        <f>SUM(Лист1!I148)</f>
        <v>22.39</v>
      </c>
      <c r="K549" s="261"/>
      <c r="L549" s="261"/>
      <c r="M549" s="261"/>
      <c r="N549" s="261"/>
      <c r="O549" s="261"/>
      <c r="P549" s="261"/>
      <c r="Q549" s="261"/>
      <c r="R549" s="231">
        <f t="shared" ref="R549:R685" si="205">SUM(H549+N549)</f>
        <v>57390.62</v>
      </c>
      <c r="S549" s="231">
        <f>SUM(I549+O549-J549)</f>
        <v>16957.79</v>
      </c>
      <c r="T549" s="443">
        <f>S549-3*U549</f>
        <v>16890.620000000003</v>
      </c>
      <c r="U549" s="445">
        <f t="shared" si="203"/>
        <v>22.39</v>
      </c>
      <c r="V549" s="443">
        <f t="shared" si="198"/>
        <v>40500</v>
      </c>
      <c r="W549" s="238">
        <f t="shared" si="181"/>
        <v>40432.83</v>
      </c>
      <c r="X549" s="231">
        <f t="shared" si="175"/>
        <v>16935.400000000001</v>
      </c>
      <c r="Y549" s="231">
        <f t="shared" si="176"/>
        <v>22.39</v>
      </c>
      <c r="Z549" s="232">
        <f t="shared" si="177"/>
        <v>40455.22</v>
      </c>
      <c r="AA549" s="22">
        <f t="shared" si="174"/>
        <v>0</v>
      </c>
      <c r="AB549" s="424">
        <f t="shared" si="178"/>
        <v>-5.8264504332328215E-13</v>
      </c>
      <c r="AC549" s="424">
        <f t="shared" si="179"/>
        <v>0</v>
      </c>
    </row>
    <row r="550" spans="1:29" s="269" customFormat="1" ht="14.25" customHeight="1" x14ac:dyDescent="0.25">
      <c r="A550" s="272"/>
      <c r="B550" s="276"/>
      <c r="C550" s="266"/>
      <c r="D550" s="353" t="s">
        <v>503</v>
      </c>
      <c r="E550" s="457"/>
      <c r="F550" s="277">
        <v>56</v>
      </c>
      <c r="G550" s="265"/>
      <c r="H550" s="151"/>
      <c r="I550" s="151"/>
      <c r="J550" s="151"/>
      <c r="R550" s="274"/>
      <c r="S550" s="274"/>
      <c r="T550" s="443"/>
      <c r="U550" s="445"/>
      <c r="V550" s="443"/>
      <c r="W550" s="295"/>
      <c r="X550" s="231">
        <f t="shared" si="175"/>
        <v>0</v>
      </c>
      <c r="Y550" s="231">
        <f t="shared" si="176"/>
        <v>0</v>
      </c>
      <c r="Z550" s="232">
        <f t="shared" si="177"/>
        <v>0</v>
      </c>
      <c r="AA550" s="22">
        <f t="shared" si="174"/>
        <v>0</v>
      </c>
      <c r="AB550" s="424">
        <f t="shared" si="178"/>
        <v>0</v>
      </c>
      <c r="AC550" s="424">
        <f t="shared" si="179"/>
        <v>0</v>
      </c>
    </row>
    <row r="551" spans="1:29" s="149" customFormat="1" ht="14.25" customHeight="1" x14ac:dyDescent="0.25">
      <c r="A551" s="163"/>
      <c r="B551" s="167"/>
      <c r="C551" s="146"/>
      <c r="D551" s="167"/>
      <c r="E551" s="169"/>
      <c r="F551" s="205"/>
      <c r="G551" s="144"/>
      <c r="H551" s="148"/>
      <c r="I551" s="148"/>
      <c r="J551" s="148"/>
      <c r="R551" s="211"/>
      <c r="S551" s="217"/>
      <c r="T551" s="443"/>
      <c r="U551" s="443"/>
      <c r="V551" s="443"/>
      <c r="W551" s="212"/>
      <c r="X551" s="231">
        <f t="shared" si="175"/>
        <v>0</v>
      </c>
      <c r="Y551" s="231">
        <f t="shared" si="176"/>
        <v>0</v>
      </c>
      <c r="Z551" s="232">
        <f t="shared" si="177"/>
        <v>0</v>
      </c>
      <c r="AA551" s="22">
        <f t="shared" si="174"/>
        <v>0</v>
      </c>
      <c r="AB551" s="424">
        <f t="shared" si="178"/>
        <v>0</v>
      </c>
      <c r="AC551" s="424">
        <f t="shared" si="179"/>
        <v>0</v>
      </c>
    </row>
    <row r="552" spans="1:29" s="257" customFormat="1" ht="14.25" customHeight="1" x14ac:dyDescent="0.25">
      <c r="A552" s="236">
        <f>SUM(A549+1)</f>
        <v>131</v>
      </c>
      <c r="B552" s="225" t="s">
        <v>227</v>
      </c>
      <c r="C552" s="226">
        <v>460</v>
      </c>
      <c r="D552" s="225" t="s">
        <v>195</v>
      </c>
      <c r="E552" s="260" t="s">
        <v>228</v>
      </c>
      <c r="F552" s="244">
        <f>SUM(F554:F559)</f>
        <v>337.9</v>
      </c>
      <c r="G552" s="248">
        <v>1900</v>
      </c>
      <c r="H552" s="237">
        <f>SUM(Лист1!G149)</f>
        <v>817942.77</v>
      </c>
      <c r="I552" s="237">
        <f>SUM(Лист1!H149)</f>
        <v>137135.4</v>
      </c>
      <c r="J552" s="237">
        <f>SUM(Лист1!I149)</f>
        <v>939.38</v>
      </c>
      <c r="K552" s="261"/>
      <c r="L552" s="261"/>
      <c r="M552" s="261"/>
      <c r="N552" s="259">
        <v>576.95000000000005</v>
      </c>
      <c r="O552" s="259">
        <v>392.26</v>
      </c>
      <c r="P552" s="259">
        <v>2.21</v>
      </c>
      <c r="Q552" s="261"/>
      <c r="R552" s="231">
        <f t="shared" ref="R552" si="206">SUM(H552+N552)</f>
        <v>818519.72</v>
      </c>
      <c r="S552" s="256">
        <f>SUM(I552+O552-J552)</f>
        <v>136588.28</v>
      </c>
      <c r="T552" s="443">
        <f>S552-3*U552</f>
        <v>133763.51</v>
      </c>
      <c r="U552" s="443">
        <f t="shared" si="203"/>
        <v>941.59</v>
      </c>
      <c r="V552" s="443">
        <f t="shared" si="198"/>
        <v>684756.21</v>
      </c>
      <c r="W552" s="256">
        <f t="shared" si="181"/>
        <v>681931.44</v>
      </c>
      <c r="X552" s="256">
        <f t="shared" si="175"/>
        <v>135646.69</v>
      </c>
      <c r="Y552" s="256">
        <f t="shared" si="176"/>
        <v>941.59</v>
      </c>
      <c r="Z552" s="256">
        <f t="shared" si="177"/>
        <v>682873.02999999991</v>
      </c>
      <c r="AA552" s="148">
        <f t="shared" si="174"/>
        <v>0</v>
      </c>
      <c r="AB552" s="256">
        <f t="shared" si="178"/>
        <v>-3.5242919693700969E-12</v>
      </c>
      <c r="AC552" s="256">
        <f t="shared" si="179"/>
        <v>1.1641532182693481E-10</v>
      </c>
    </row>
    <row r="553" spans="1:29" s="149" customFormat="1" ht="14.25" customHeight="1" x14ac:dyDescent="0.25">
      <c r="A553" s="449"/>
      <c r="B553" s="141"/>
      <c r="C553" s="489"/>
      <c r="D553" s="353" t="s">
        <v>518</v>
      </c>
      <c r="E553" s="474"/>
      <c r="F553" s="208"/>
      <c r="G553" s="249"/>
      <c r="H553" s="148"/>
      <c r="I553" s="148"/>
      <c r="J553" s="148"/>
      <c r="N553" s="140"/>
      <c r="O553" s="140"/>
      <c r="P553" s="140"/>
      <c r="R553" s="211"/>
      <c r="S553" s="215"/>
      <c r="T553" s="443"/>
      <c r="U553" s="443"/>
      <c r="V553" s="443"/>
      <c r="W553" s="215"/>
      <c r="X553" s="256">
        <f t="shared" si="175"/>
        <v>0</v>
      </c>
      <c r="Y553" s="256">
        <f t="shared" si="176"/>
        <v>0</v>
      </c>
      <c r="Z553" s="256">
        <f t="shared" si="177"/>
        <v>0</v>
      </c>
      <c r="AA553" s="148">
        <f t="shared" si="174"/>
        <v>0</v>
      </c>
      <c r="AB553" s="256">
        <f t="shared" si="178"/>
        <v>0</v>
      </c>
      <c r="AC553" s="256">
        <f t="shared" si="179"/>
        <v>0</v>
      </c>
    </row>
    <row r="554" spans="1:29" s="149" customFormat="1" ht="14.25" customHeight="1" x14ac:dyDescent="0.25">
      <c r="A554" s="249"/>
      <c r="B554" s="167"/>
      <c r="C554" s="146"/>
      <c r="D554" s="354" t="s">
        <v>523</v>
      </c>
      <c r="E554" s="165"/>
      <c r="F554" s="208">
        <v>49.2</v>
      </c>
      <c r="G554" s="249"/>
      <c r="H554" s="148"/>
      <c r="I554" s="148"/>
      <c r="J554" s="148"/>
      <c r="N554" s="140"/>
      <c r="O554" s="140"/>
      <c r="P554" s="140"/>
      <c r="R554" s="274">
        <f>$R$552/$F$552*F554</f>
        <v>119180.73460787216</v>
      </c>
      <c r="S554" s="270">
        <f>S552/F552*F554</f>
        <v>19887.965007398641</v>
      </c>
      <c r="T554" s="443">
        <f>$T$552/$F$552*F554</f>
        <v>19476.663782184081</v>
      </c>
      <c r="U554" s="443"/>
      <c r="V554" s="443">
        <f t="shared" si="198"/>
        <v>99704.070825688075</v>
      </c>
      <c r="W554" s="215">
        <f>SUM(R554-S554)</f>
        <v>99292.769600473519</v>
      </c>
      <c r="X554" s="256">
        <f t="shared" si="175"/>
        <v>19887.965007398641</v>
      </c>
      <c r="Y554" s="256">
        <f t="shared" si="176"/>
        <v>0</v>
      </c>
      <c r="Z554" s="256">
        <f t="shared" si="177"/>
        <v>99292.769600473519</v>
      </c>
      <c r="AA554" s="148">
        <f t="shared" si="174"/>
        <v>0</v>
      </c>
      <c r="AB554" s="256">
        <f t="shared" si="178"/>
        <v>0</v>
      </c>
      <c r="AC554" s="256">
        <f t="shared" si="179"/>
        <v>0</v>
      </c>
    </row>
    <row r="555" spans="1:29" s="149" customFormat="1" ht="14.25" customHeight="1" x14ac:dyDescent="0.25">
      <c r="A555" s="249"/>
      <c r="B555" s="167"/>
      <c r="C555" s="146"/>
      <c r="D555" s="354" t="s">
        <v>511</v>
      </c>
      <c r="E555" s="165"/>
      <c r="F555" s="208">
        <v>51.8</v>
      </c>
      <c r="G555" s="249"/>
      <c r="H555" s="148"/>
      <c r="I555" s="148"/>
      <c r="J555" s="148"/>
      <c r="N555" s="140"/>
      <c r="O555" s="140"/>
      <c r="P555" s="140"/>
      <c r="R555" s="274">
        <f t="shared" ref="R555:R559" si="207">$R$552/$F$552*F555</f>
        <v>125478.90350991418</v>
      </c>
      <c r="S555" s="270">
        <f>S552/F552*F555</f>
        <v>20938.955028114826</v>
      </c>
      <c r="T555" s="443">
        <f t="shared" ref="T555:T559" si="208">$T$552/$F$552*F555</f>
        <v>20505.9183722995</v>
      </c>
      <c r="U555" s="443"/>
      <c r="V555" s="443">
        <f t="shared" si="198"/>
        <v>104972.98513761468</v>
      </c>
      <c r="W555" s="215">
        <f t="shared" ref="W555:W559" si="209">SUM(R555-S555)</f>
        <v>104539.94848179935</v>
      </c>
      <c r="X555" s="256">
        <f t="shared" si="175"/>
        <v>20938.955028114826</v>
      </c>
      <c r="Y555" s="256">
        <f t="shared" si="176"/>
        <v>0</v>
      </c>
      <c r="Z555" s="256">
        <f t="shared" si="177"/>
        <v>104539.94848179935</v>
      </c>
      <c r="AA555" s="148">
        <f t="shared" si="174"/>
        <v>0</v>
      </c>
      <c r="AB555" s="256">
        <f t="shared" si="178"/>
        <v>0</v>
      </c>
      <c r="AC555" s="256">
        <f t="shared" si="179"/>
        <v>0</v>
      </c>
    </row>
    <row r="556" spans="1:29" s="149" customFormat="1" ht="14.25" customHeight="1" x14ac:dyDescent="0.25">
      <c r="A556" s="249"/>
      <c r="B556" s="167"/>
      <c r="C556" s="146"/>
      <c r="D556" s="354" t="s">
        <v>566</v>
      </c>
      <c r="E556" s="165"/>
      <c r="F556" s="208">
        <v>35.799999999999997</v>
      </c>
      <c r="G556" s="249"/>
      <c r="H556" s="148"/>
      <c r="I556" s="148"/>
      <c r="J556" s="148"/>
      <c r="N556" s="140"/>
      <c r="O556" s="140"/>
      <c r="P556" s="140"/>
      <c r="R556" s="274">
        <f t="shared" si="207"/>
        <v>86720.941035809403</v>
      </c>
      <c r="S556" s="270">
        <f>S552/F552*F556</f>
        <v>14471.324131399821</v>
      </c>
      <c r="T556" s="443">
        <f t="shared" si="208"/>
        <v>14172.04397158923</v>
      </c>
      <c r="U556" s="443"/>
      <c r="V556" s="443">
        <f t="shared" si="198"/>
        <v>72548.897064220175</v>
      </c>
      <c r="W556" s="215">
        <f t="shared" si="209"/>
        <v>72249.616904409588</v>
      </c>
      <c r="X556" s="256">
        <f t="shared" si="175"/>
        <v>14471.324131399821</v>
      </c>
      <c r="Y556" s="256">
        <f t="shared" si="176"/>
        <v>0</v>
      </c>
      <c r="Z556" s="256">
        <f t="shared" si="177"/>
        <v>72249.616904409588</v>
      </c>
      <c r="AA556" s="148">
        <f t="shared" si="174"/>
        <v>0</v>
      </c>
      <c r="AB556" s="256">
        <f t="shared" si="178"/>
        <v>0</v>
      </c>
      <c r="AC556" s="256">
        <f t="shared" si="179"/>
        <v>0</v>
      </c>
    </row>
    <row r="557" spans="1:29" s="149" customFormat="1" ht="14.25" customHeight="1" x14ac:dyDescent="0.25">
      <c r="A557" s="249"/>
      <c r="B557" s="167"/>
      <c r="C557" s="146"/>
      <c r="D557" s="354" t="s">
        <v>615</v>
      </c>
      <c r="E557" s="165"/>
      <c r="F557" s="208">
        <v>35.299999999999997</v>
      </c>
      <c r="G557" s="249"/>
      <c r="H557" s="148"/>
      <c r="I557" s="148"/>
      <c r="J557" s="148"/>
      <c r="N557" s="140"/>
      <c r="O557" s="140"/>
      <c r="P557" s="140"/>
      <c r="R557" s="274">
        <f t="shared" si="207"/>
        <v>85509.754708493638</v>
      </c>
      <c r="S557" s="270">
        <f>S552/F552*F557</f>
        <v>14269.210665877477</v>
      </c>
      <c r="T557" s="443">
        <f t="shared" si="208"/>
        <v>13974.110396567034</v>
      </c>
      <c r="U557" s="443"/>
      <c r="V557" s="443">
        <f t="shared" si="198"/>
        <v>71535.644311926604</v>
      </c>
      <c r="W557" s="215">
        <f t="shared" si="209"/>
        <v>71240.544042616166</v>
      </c>
      <c r="X557" s="256">
        <f t="shared" si="175"/>
        <v>14269.210665877477</v>
      </c>
      <c r="Y557" s="256">
        <f t="shared" si="176"/>
        <v>0</v>
      </c>
      <c r="Z557" s="256">
        <f t="shared" si="177"/>
        <v>71240.544042616166</v>
      </c>
      <c r="AA557" s="148">
        <f t="shared" si="174"/>
        <v>0</v>
      </c>
      <c r="AB557" s="256">
        <f t="shared" si="178"/>
        <v>0</v>
      </c>
      <c r="AC557" s="256">
        <f t="shared" si="179"/>
        <v>0</v>
      </c>
    </row>
    <row r="558" spans="1:29" s="149" customFormat="1" ht="14.25" customHeight="1" x14ac:dyDescent="0.25">
      <c r="A558" s="249"/>
      <c r="B558" s="167"/>
      <c r="C558" s="146"/>
      <c r="D558" s="354" t="s">
        <v>536</v>
      </c>
      <c r="E558" s="165"/>
      <c r="F558" s="208">
        <v>36.6</v>
      </c>
      <c r="G558" s="249"/>
      <c r="H558" s="148"/>
      <c r="I558" s="148"/>
      <c r="J558" s="148"/>
      <c r="N558" s="140"/>
      <c r="O558" s="140"/>
      <c r="P558" s="140"/>
      <c r="R558" s="274">
        <f t="shared" si="207"/>
        <v>88658.839159514653</v>
      </c>
      <c r="S558" s="270">
        <f>S552/F552*F558</f>
        <v>14794.705676235573</v>
      </c>
      <c r="T558" s="443">
        <f t="shared" si="208"/>
        <v>14488.737691624745</v>
      </c>
      <c r="U558" s="443"/>
      <c r="V558" s="443">
        <f t="shared" si="198"/>
        <v>74170.101467889908</v>
      </c>
      <c r="W558" s="215">
        <f t="shared" si="209"/>
        <v>73864.133483279074</v>
      </c>
      <c r="X558" s="256">
        <f t="shared" si="175"/>
        <v>14794.705676235573</v>
      </c>
      <c r="Y558" s="256">
        <f t="shared" si="176"/>
        <v>0</v>
      </c>
      <c r="Z558" s="256">
        <f t="shared" si="177"/>
        <v>73864.133483279074</v>
      </c>
      <c r="AA558" s="148">
        <f t="shared" ref="AA558:AA616" si="210">SUM(U558-Y558)</f>
        <v>0</v>
      </c>
      <c r="AB558" s="256">
        <f t="shared" si="178"/>
        <v>0</v>
      </c>
      <c r="AC558" s="256">
        <f t="shared" si="179"/>
        <v>0</v>
      </c>
    </row>
    <row r="559" spans="1:29" s="149" customFormat="1" ht="14.25" customHeight="1" x14ac:dyDescent="0.25">
      <c r="A559" s="249"/>
      <c r="B559" s="167"/>
      <c r="C559" s="146"/>
      <c r="D559" s="353" t="s">
        <v>473</v>
      </c>
      <c r="E559" s="165"/>
      <c r="F559" s="208">
        <v>129.19999999999999</v>
      </c>
      <c r="G559" s="249"/>
      <c r="H559" s="148"/>
      <c r="I559" s="148"/>
      <c r="J559" s="148"/>
      <c r="N559" s="140"/>
      <c r="O559" s="140"/>
      <c r="P559" s="140"/>
      <c r="R559" s="274">
        <f t="shared" si="207"/>
        <v>312970.54697839596</v>
      </c>
      <c r="S559" s="270">
        <f>S552/F552*F559</f>
        <v>52226.119490973659</v>
      </c>
      <c r="T559" s="443">
        <f t="shared" si="208"/>
        <v>51146.035785735432</v>
      </c>
      <c r="U559" s="443"/>
      <c r="V559" s="443">
        <f t="shared" si="198"/>
        <v>261824.51119266052</v>
      </c>
      <c r="W559" s="215">
        <f t="shared" si="209"/>
        <v>260744.4274874223</v>
      </c>
      <c r="X559" s="256">
        <f t="shared" ref="X559:X617" si="211">SUM(S559-U559)</f>
        <v>52226.119490973659</v>
      </c>
      <c r="Y559" s="256">
        <f t="shared" ref="Y559:Y617" si="212">SUM(U559)</f>
        <v>0</v>
      </c>
      <c r="Z559" s="256">
        <f t="shared" ref="Z559:Z617" si="213">SUM(U559+W559)</f>
        <v>260744.4274874223</v>
      </c>
      <c r="AA559" s="148">
        <f t="shared" si="210"/>
        <v>0</v>
      </c>
      <c r="AB559" s="256">
        <f t="shared" ref="AB559:AB617" si="214">SUM(S559-X559-U559)</f>
        <v>0</v>
      </c>
      <c r="AC559" s="256">
        <f t="shared" ref="AC559:AC617" si="215">SUM(R559-X559-Z559)</f>
        <v>0</v>
      </c>
    </row>
    <row r="560" spans="1:29" s="149" customFormat="1" ht="14.25" customHeight="1" x14ac:dyDescent="0.25">
      <c r="A560" s="142"/>
      <c r="B560" s="143"/>
      <c r="C560" s="154"/>
      <c r="D560" s="167"/>
      <c r="E560" s="166"/>
      <c r="F560" s="209"/>
      <c r="G560" s="142"/>
      <c r="H560" s="157"/>
      <c r="I560" s="157"/>
      <c r="J560" s="157"/>
      <c r="K560" s="171"/>
      <c r="L560" s="171"/>
      <c r="M560" s="171"/>
      <c r="N560" s="159"/>
      <c r="O560" s="159"/>
      <c r="P560" s="159"/>
      <c r="Q560" s="171"/>
      <c r="R560" s="213"/>
      <c r="S560" s="215"/>
      <c r="T560" s="443"/>
      <c r="U560" s="443"/>
      <c r="V560" s="443"/>
      <c r="W560" s="215"/>
      <c r="X560" s="256">
        <f t="shared" si="211"/>
        <v>0</v>
      </c>
      <c r="Y560" s="256">
        <f t="shared" si="212"/>
        <v>0</v>
      </c>
      <c r="Z560" s="256">
        <f t="shared" si="213"/>
        <v>0</v>
      </c>
      <c r="AA560" s="148">
        <f t="shared" si="210"/>
        <v>0</v>
      </c>
      <c r="AB560" s="256">
        <f t="shared" si="214"/>
        <v>0</v>
      </c>
      <c r="AC560" s="256">
        <f t="shared" si="215"/>
        <v>0</v>
      </c>
    </row>
    <row r="561" spans="1:29" s="287" customFormat="1" ht="14.25" hidden="1" customHeight="1" x14ac:dyDescent="0.25">
      <c r="A561" s="448">
        <f>SUM(A552+1)</f>
        <v>132</v>
      </c>
      <c r="B561" s="307" t="s">
        <v>229</v>
      </c>
      <c r="C561" s="348">
        <v>462</v>
      </c>
      <c r="D561" s="307" t="s">
        <v>230</v>
      </c>
      <c r="E561" s="465" t="s">
        <v>231</v>
      </c>
      <c r="F561" s="423"/>
      <c r="G561" s="339"/>
      <c r="H561" s="303"/>
      <c r="I561" s="303"/>
      <c r="J561" s="303"/>
      <c r="R561" s="314"/>
      <c r="S561" s="256"/>
      <c r="T561" s="443"/>
      <c r="U561" s="443"/>
      <c r="V561" s="443"/>
      <c r="W561" s="303">
        <f t="shared" si="181"/>
        <v>0</v>
      </c>
      <c r="X561" s="256">
        <f t="shared" si="211"/>
        <v>0</v>
      </c>
      <c r="Y561" s="256">
        <f t="shared" si="212"/>
        <v>0</v>
      </c>
      <c r="Z561" s="256">
        <f t="shared" si="213"/>
        <v>0</v>
      </c>
      <c r="AA561" s="148">
        <f t="shared" si="210"/>
        <v>0</v>
      </c>
      <c r="AB561" s="256">
        <f t="shared" si="214"/>
        <v>0</v>
      </c>
      <c r="AC561" s="256">
        <f t="shared" si="215"/>
        <v>0</v>
      </c>
    </row>
    <row r="562" spans="1:29" s="269" customFormat="1" ht="14.25" hidden="1" customHeight="1" x14ac:dyDescent="0.25">
      <c r="A562" s="272"/>
      <c r="B562" s="276"/>
      <c r="C562" s="266"/>
      <c r="D562" s="353" t="s">
        <v>518</v>
      </c>
      <c r="E562" s="473"/>
      <c r="F562" s="450"/>
      <c r="G562" s="278"/>
      <c r="H562" s="151"/>
      <c r="I562" s="151"/>
      <c r="J562" s="151"/>
      <c r="R562" s="274"/>
      <c r="S562" s="270"/>
      <c r="T562" s="443"/>
      <c r="U562" s="443"/>
      <c r="V562" s="443"/>
      <c r="W562" s="295"/>
      <c r="X562" s="447">
        <f t="shared" si="211"/>
        <v>0</v>
      </c>
      <c r="Y562" s="447">
        <f t="shared" si="212"/>
        <v>0</v>
      </c>
      <c r="Z562" s="232">
        <f t="shared" si="213"/>
        <v>0</v>
      </c>
      <c r="AA562" s="22">
        <f t="shared" si="210"/>
        <v>0</v>
      </c>
      <c r="AB562" s="424">
        <f t="shared" si="214"/>
        <v>0</v>
      </c>
      <c r="AC562" s="424">
        <f t="shared" si="215"/>
        <v>0</v>
      </c>
    </row>
    <row r="563" spans="1:29" s="269" customFormat="1" ht="14.25" hidden="1" customHeight="1" x14ac:dyDescent="0.25">
      <c r="A563" s="272"/>
      <c r="B563" s="276"/>
      <c r="C563" s="266"/>
      <c r="D563" s="354" t="s">
        <v>593</v>
      </c>
      <c r="E563" s="473"/>
      <c r="F563" s="450"/>
      <c r="G563" s="278"/>
      <c r="H563" s="151"/>
      <c r="I563" s="151"/>
      <c r="J563" s="151"/>
      <c r="R563" s="274"/>
      <c r="S563" s="295"/>
      <c r="T563" s="443"/>
      <c r="U563" s="445"/>
      <c r="V563" s="443"/>
      <c r="W563" s="295" t="e">
        <f>W561/F561*F563</f>
        <v>#DIV/0!</v>
      </c>
      <c r="X563" s="231">
        <f t="shared" si="211"/>
        <v>0</v>
      </c>
      <c r="Y563" s="231">
        <f t="shared" si="212"/>
        <v>0</v>
      </c>
      <c r="Z563" s="232" t="e">
        <f t="shared" si="213"/>
        <v>#DIV/0!</v>
      </c>
      <c r="AA563" s="22">
        <f t="shared" si="210"/>
        <v>0</v>
      </c>
      <c r="AB563" s="424">
        <f t="shared" si="214"/>
        <v>0</v>
      </c>
      <c r="AC563" s="424" t="e">
        <f t="shared" si="215"/>
        <v>#DIV/0!</v>
      </c>
    </row>
    <row r="564" spans="1:29" s="269" customFormat="1" ht="14.25" hidden="1" customHeight="1" x14ac:dyDescent="0.25">
      <c r="A564" s="272"/>
      <c r="B564" s="276"/>
      <c r="C564" s="266"/>
      <c r="D564" s="354" t="s">
        <v>558</v>
      </c>
      <c r="E564" s="473"/>
      <c r="F564" s="450"/>
      <c r="G564" s="278"/>
      <c r="H564" s="151"/>
      <c r="I564" s="151"/>
      <c r="J564" s="151"/>
      <c r="R564" s="274"/>
      <c r="S564" s="295"/>
      <c r="T564" s="443"/>
      <c r="U564" s="445"/>
      <c r="V564" s="443"/>
      <c r="W564" s="295" t="e">
        <f>W561/F561*F564</f>
        <v>#DIV/0!</v>
      </c>
      <c r="X564" s="231">
        <f t="shared" si="211"/>
        <v>0</v>
      </c>
      <c r="Y564" s="231">
        <f t="shared" si="212"/>
        <v>0</v>
      </c>
      <c r="Z564" s="232" t="e">
        <f t="shared" si="213"/>
        <v>#DIV/0!</v>
      </c>
      <c r="AA564" s="22">
        <f t="shared" si="210"/>
        <v>0</v>
      </c>
      <c r="AB564" s="424">
        <f t="shared" si="214"/>
        <v>0</v>
      </c>
      <c r="AC564" s="424" t="e">
        <f t="shared" si="215"/>
        <v>#DIV/0!</v>
      </c>
    </row>
    <row r="565" spans="1:29" s="149" customFormat="1" ht="14.25" hidden="1" customHeight="1" x14ac:dyDescent="0.25">
      <c r="A565" s="163"/>
      <c r="B565" s="167"/>
      <c r="C565" s="146"/>
      <c r="D565" s="357"/>
      <c r="E565" s="165"/>
      <c r="F565" s="208"/>
      <c r="G565" s="142"/>
      <c r="H565" s="148"/>
      <c r="I565" s="148"/>
      <c r="J565" s="148"/>
      <c r="R565" s="213"/>
      <c r="S565" s="214"/>
      <c r="T565" s="443"/>
      <c r="U565" s="445"/>
      <c r="V565" s="443"/>
      <c r="W565" s="212"/>
      <c r="X565" s="231">
        <f t="shared" si="211"/>
        <v>0</v>
      </c>
      <c r="Y565" s="231">
        <f t="shared" si="212"/>
        <v>0</v>
      </c>
      <c r="Z565" s="232">
        <f t="shared" si="213"/>
        <v>0</v>
      </c>
      <c r="AA565" s="22">
        <f t="shared" si="210"/>
        <v>0</v>
      </c>
      <c r="AB565" s="424">
        <f t="shared" si="214"/>
        <v>0</v>
      </c>
      <c r="AC565" s="424">
        <f t="shared" si="215"/>
        <v>0</v>
      </c>
    </row>
    <row r="566" spans="1:29" s="257" customFormat="1" ht="14.25" customHeight="1" x14ac:dyDescent="0.25">
      <c r="A566" s="224">
        <f>SUM(A552+1)</f>
        <v>132</v>
      </c>
      <c r="B566" s="225" t="s">
        <v>232</v>
      </c>
      <c r="C566" s="226">
        <v>463</v>
      </c>
      <c r="D566" s="225" t="s">
        <v>230</v>
      </c>
      <c r="E566" s="454">
        <v>1</v>
      </c>
      <c r="F566" s="252">
        <v>45.61</v>
      </c>
      <c r="G566" s="248">
        <v>1971</v>
      </c>
      <c r="H566" s="237">
        <f>SUM(Лист1!G151)</f>
        <v>60015.95</v>
      </c>
      <c r="I566" s="237">
        <f>SUM(Лист1!H151)</f>
        <v>15957.71</v>
      </c>
      <c r="J566" s="237">
        <f>SUM(Лист1!I151)</f>
        <v>35.72</v>
      </c>
      <c r="K566" s="261"/>
      <c r="L566" s="261"/>
      <c r="M566" s="261"/>
      <c r="N566" s="261"/>
      <c r="O566" s="261"/>
      <c r="P566" s="261"/>
      <c r="Q566" s="261"/>
      <c r="R566" s="430">
        <f t="shared" si="205"/>
        <v>60015.95</v>
      </c>
      <c r="S566" s="231">
        <f>SUM(I566+O566-J566)</f>
        <v>15921.99</v>
      </c>
      <c r="T566" s="443">
        <f>S566-3*U566</f>
        <v>15814.83</v>
      </c>
      <c r="U566" s="445">
        <f t="shared" si="203"/>
        <v>35.72</v>
      </c>
      <c r="V566" s="443">
        <f t="shared" si="198"/>
        <v>44201.119999999995</v>
      </c>
      <c r="W566" s="238">
        <f t="shared" si="181"/>
        <v>44093.96</v>
      </c>
      <c r="X566" s="231">
        <f t="shared" si="211"/>
        <v>15886.27</v>
      </c>
      <c r="Y566" s="231">
        <f t="shared" si="212"/>
        <v>35.72</v>
      </c>
      <c r="Z566" s="232">
        <f t="shared" si="213"/>
        <v>44129.68</v>
      </c>
      <c r="AA566" s="22">
        <f t="shared" si="210"/>
        <v>0</v>
      </c>
      <c r="AB566" s="424">
        <f t="shared" si="214"/>
        <v>-6.5369931689929217E-13</v>
      </c>
      <c r="AC566" s="424">
        <f t="shared" si="215"/>
        <v>-7.2759576141834259E-12</v>
      </c>
    </row>
    <row r="567" spans="1:29" s="149" customFormat="1" ht="14.25" customHeight="1" x14ac:dyDescent="0.25">
      <c r="A567" s="163"/>
      <c r="B567" s="167"/>
      <c r="C567" s="146"/>
      <c r="D567" s="357" t="s">
        <v>504</v>
      </c>
      <c r="E567" s="169"/>
      <c r="F567" s="139">
        <v>45.61</v>
      </c>
      <c r="G567" s="249"/>
      <c r="H567" s="148"/>
      <c r="I567" s="148"/>
      <c r="J567" s="148"/>
      <c r="R567" s="217"/>
      <c r="S567" s="211"/>
      <c r="T567" s="443"/>
      <c r="U567" s="445"/>
      <c r="V567" s="443"/>
      <c r="W567" s="212"/>
      <c r="X567" s="231">
        <f t="shared" si="211"/>
        <v>0</v>
      </c>
      <c r="Y567" s="231">
        <f t="shared" si="212"/>
        <v>0</v>
      </c>
      <c r="Z567" s="232">
        <f t="shared" si="213"/>
        <v>0</v>
      </c>
      <c r="AA567" s="22">
        <f t="shared" si="210"/>
        <v>0</v>
      </c>
      <c r="AB567" s="424">
        <f t="shared" si="214"/>
        <v>0</v>
      </c>
      <c r="AC567" s="424">
        <f t="shared" si="215"/>
        <v>0</v>
      </c>
    </row>
    <row r="568" spans="1:29" s="149" customFormat="1" ht="14.25" customHeight="1" x14ac:dyDescent="0.25">
      <c r="A568" s="152"/>
      <c r="B568" s="143"/>
      <c r="C568" s="154"/>
      <c r="D568" s="143"/>
      <c r="E568" s="170"/>
      <c r="F568" s="158"/>
      <c r="G568" s="142"/>
      <c r="H568" s="157"/>
      <c r="I568" s="157"/>
      <c r="J568" s="157"/>
      <c r="K568" s="171"/>
      <c r="L568" s="171"/>
      <c r="M568" s="171"/>
      <c r="N568" s="171"/>
      <c r="O568" s="171"/>
      <c r="P568" s="171"/>
      <c r="Q568" s="171"/>
      <c r="R568" s="427"/>
      <c r="S568" s="213"/>
      <c r="T568" s="443"/>
      <c r="U568" s="445"/>
      <c r="V568" s="443"/>
      <c r="W568" s="214"/>
      <c r="X568" s="231">
        <f t="shared" si="211"/>
        <v>0</v>
      </c>
      <c r="Y568" s="231">
        <f t="shared" si="212"/>
        <v>0</v>
      </c>
      <c r="Z568" s="232">
        <f t="shared" si="213"/>
        <v>0</v>
      </c>
      <c r="AA568" s="22">
        <f t="shared" si="210"/>
        <v>0</v>
      </c>
      <c r="AB568" s="424">
        <f t="shared" si="214"/>
        <v>0</v>
      </c>
      <c r="AC568" s="424">
        <f t="shared" si="215"/>
        <v>0</v>
      </c>
    </row>
    <row r="569" spans="1:29" s="287" customFormat="1" ht="14.25" customHeight="1" x14ac:dyDescent="0.25">
      <c r="A569" s="313">
        <f>SUM(A566+1)</f>
        <v>133</v>
      </c>
      <c r="B569" s="307" t="s">
        <v>233</v>
      </c>
      <c r="C569" s="348">
        <v>465</v>
      </c>
      <c r="D569" s="307" t="s">
        <v>234</v>
      </c>
      <c r="E569" s="320">
        <v>18</v>
      </c>
      <c r="F569" s="321">
        <f>F571+F572+F573+F574</f>
        <v>261.10000000000002</v>
      </c>
      <c r="G569" s="339">
        <v>1990</v>
      </c>
      <c r="H569" s="310">
        <f>SUM(Лист1!G152)</f>
        <v>430560.7</v>
      </c>
      <c r="I569" s="310">
        <f>SUM(Лист1!H152)</f>
        <v>184745.72</v>
      </c>
      <c r="J569" s="310">
        <f>SUM(Лист1!I152)</f>
        <v>225.53</v>
      </c>
      <c r="K569" s="311"/>
      <c r="L569" s="311"/>
      <c r="M569" s="311"/>
      <c r="N569" s="308">
        <v>2937.61</v>
      </c>
      <c r="O569" s="308">
        <v>2585.15</v>
      </c>
      <c r="P569" s="319">
        <v>3.1</v>
      </c>
      <c r="Q569" s="311"/>
      <c r="R569" s="237">
        <f t="shared" ref="R569" si="216">SUM(H569+N569)</f>
        <v>433498.31</v>
      </c>
      <c r="S569" s="231">
        <f>SUM(I569+O569-J569)</f>
        <v>187105.34</v>
      </c>
      <c r="T569" s="443">
        <f>S569-3*U569</f>
        <v>186419.44999999998</v>
      </c>
      <c r="U569" s="445">
        <f t="shared" si="203"/>
        <v>228.63</v>
      </c>
      <c r="V569" s="443">
        <f t="shared" si="198"/>
        <v>247078.86000000002</v>
      </c>
      <c r="W569" s="312">
        <f t="shared" si="181"/>
        <v>246392.97</v>
      </c>
      <c r="X569" s="231">
        <f t="shared" si="211"/>
        <v>186876.71</v>
      </c>
      <c r="Y569" s="231">
        <f t="shared" si="212"/>
        <v>228.63</v>
      </c>
      <c r="Z569" s="232">
        <f t="shared" si="213"/>
        <v>246621.6</v>
      </c>
      <c r="AA569" s="22">
        <f t="shared" si="210"/>
        <v>0</v>
      </c>
      <c r="AB569" s="424">
        <f t="shared" si="214"/>
        <v>4.6611603465862572E-12</v>
      </c>
      <c r="AC569" s="424">
        <f t="shared" si="215"/>
        <v>0</v>
      </c>
    </row>
    <row r="570" spans="1:29" s="269" customFormat="1" ht="14.25" customHeight="1" x14ac:dyDescent="0.25">
      <c r="A570" s="272"/>
      <c r="B570" s="276"/>
      <c r="C570" s="266"/>
      <c r="D570" s="353" t="s">
        <v>518</v>
      </c>
      <c r="E570" s="267"/>
      <c r="F570" s="277"/>
      <c r="G570" s="278"/>
      <c r="H570" s="151"/>
      <c r="I570" s="151"/>
      <c r="J570" s="151"/>
      <c r="N570" s="268"/>
      <c r="O570" s="268"/>
      <c r="P570" s="315"/>
      <c r="R570" s="270"/>
      <c r="S570" s="274"/>
      <c r="T570" s="443"/>
      <c r="U570" s="445"/>
      <c r="V570" s="443"/>
      <c r="W570" s="295"/>
      <c r="X570" s="231">
        <f t="shared" si="211"/>
        <v>0</v>
      </c>
      <c r="Y570" s="231">
        <f t="shared" si="212"/>
        <v>0</v>
      </c>
      <c r="Z570" s="232">
        <f t="shared" si="213"/>
        <v>0</v>
      </c>
      <c r="AA570" s="22">
        <f t="shared" si="210"/>
        <v>0</v>
      </c>
      <c r="AB570" s="424">
        <f t="shared" si="214"/>
        <v>0</v>
      </c>
      <c r="AC570" s="424">
        <f t="shared" si="215"/>
        <v>0</v>
      </c>
    </row>
    <row r="571" spans="1:29" s="269" customFormat="1" ht="14.25" customHeight="1" x14ac:dyDescent="0.25">
      <c r="A571" s="272"/>
      <c r="B571" s="276"/>
      <c r="C571" s="266"/>
      <c r="D571" s="354" t="s">
        <v>582</v>
      </c>
      <c r="E571" s="267"/>
      <c r="F571" s="277">
        <v>41.7</v>
      </c>
      <c r="G571" s="278"/>
      <c r="H571" s="151"/>
      <c r="I571" s="151"/>
      <c r="J571" s="151"/>
      <c r="N571" s="268"/>
      <c r="O571" s="268"/>
      <c r="P571" s="315"/>
      <c r="R571" s="270">
        <f>$R$569/$F$569*F571</f>
        <v>69233.548552278808</v>
      </c>
      <c r="S571" s="274">
        <f>187105.34/261.1*F571</f>
        <v>29882.392485637683</v>
      </c>
      <c r="T571" s="443">
        <f>$T$569/$F$569*F571</f>
        <v>29772.84973190348</v>
      </c>
      <c r="U571" s="445"/>
      <c r="V571" s="443">
        <f t="shared" si="198"/>
        <v>39460.698820375328</v>
      </c>
      <c r="W571" s="295">
        <f>SUM(R571-S571)</f>
        <v>39351.156066641124</v>
      </c>
      <c r="X571" s="231">
        <f t="shared" si="211"/>
        <v>29882.392485637683</v>
      </c>
      <c r="Y571" s="231">
        <f t="shared" si="212"/>
        <v>0</v>
      </c>
      <c r="Z571" s="232">
        <f t="shared" si="213"/>
        <v>39351.156066641124</v>
      </c>
      <c r="AA571" s="22">
        <f t="shared" si="210"/>
        <v>0</v>
      </c>
      <c r="AB571" s="424">
        <f t="shared" si="214"/>
        <v>0</v>
      </c>
      <c r="AC571" s="424">
        <f t="shared" si="215"/>
        <v>0</v>
      </c>
    </row>
    <row r="572" spans="1:29" s="269" customFormat="1" ht="14.25" customHeight="1" x14ac:dyDescent="0.25">
      <c r="A572" s="272"/>
      <c r="B572" s="276"/>
      <c r="C572" s="266"/>
      <c r="D572" s="354" t="s">
        <v>541</v>
      </c>
      <c r="E572" s="267"/>
      <c r="F572" s="277">
        <v>97.9</v>
      </c>
      <c r="G572" s="278"/>
      <c r="H572" s="151"/>
      <c r="I572" s="151"/>
      <c r="J572" s="151"/>
      <c r="N572" s="268"/>
      <c r="O572" s="268"/>
      <c r="P572" s="315"/>
      <c r="R572" s="270">
        <f t="shared" ref="R572:R574" si="217">$R$569/$F$569*F572</f>
        <v>162541.11278820373</v>
      </c>
      <c r="S572" s="274">
        <f t="shared" ref="S572:S574" si="218">187105.34/261.1*F572</f>
        <v>70155.544948295661</v>
      </c>
      <c r="T572" s="443">
        <f t="shared" ref="T572:T574" si="219">$T$569/$F$569*F572</f>
        <v>69898.369034852542</v>
      </c>
      <c r="U572" s="445"/>
      <c r="V572" s="443">
        <f t="shared" si="198"/>
        <v>92642.743753351184</v>
      </c>
      <c r="W572" s="295">
        <f t="shared" ref="W572:W574" si="220">SUM(R572-S572)</f>
        <v>92385.567839908064</v>
      </c>
      <c r="X572" s="231">
        <f t="shared" si="211"/>
        <v>70155.544948295661</v>
      </c>
      <c r="Y572" s="231">
        <f t="shared" si="212"/>
        <v>0</v>
      </c>
      <c r="Z572" s="232">
        <f t="shared" si="213"/>
        <v>92385.567839908064</v>
      </c>
      <c r="AA572" s="22">
        <f t="shared" si="210"/>
        <v>0</v>
      </c>
      <c r="AB572" s="424">
        <f t="shared" si="214"/>
        <v>0</v>
      </c>
      <c r="AC572" s="424">
        <f t="shared" si="215"/>
        <v>0</v>
      </c>
    </row>
    <row r="573" spans="1:29" s="269" customFormat="1" ht="14.25" customHeight="1" x14ac:dyDescent="0.25">
      <c r="A573" s="272"/>
      <c r="B573" s="276"/>
      <c r="C573" s="266"/>
      <c r="D573" s="354" t="s">
        <v>594</v>
      </c>
      <c r="E573" s="267"/>
      <c r="F573" s="277">
        <v>38.5</v>
      </c>
      <c r="G573" s="278"/>
      <c r="H573" s="151"/>
      <c r="I573" s="151"/>
      <c r="J573" s="151"/>
      <c r="N573" s="268"/>
      <c r="O573" s="268"/>
      <c r="P573" s="315"/>
      <c r="R573" s="270">
        <f t="shared" si="217"/>
        <v>63920.662332439671</v>
      </c>
      <c r="S573" s="274">
        <f t="shared" si="218"/>
        <v>27589.259249329756</v>
      </c>
      <c r="T573" s="443">
        <f t="shared" si="219"/>
        <v>27488.12265415549</v>
      </c>
      <c r="U573" s="445"/>
      <c r="V573" s="443">
        <f t="shared" si="198"/>
        <v>36432.539678284185</v>
      </c>
      <c r="W573" s="295">
        <f t="shared" si="220"/>
        <v>36331.403083109915</v>
      </c>
      <c r="X573" s="231">
        <f t="shared" si="211"/>
        <v>27589.259249329756</v>
      </c>
      <c r="Y573" s="231">
        <f t="shared" si="212"/>
        <v>0</v>
      </c>
      <c r="Z573" s="232">
        <f t="shared" si="213"/>
        <v>36331.403083109915</v>
      </c>
      <c r="AA573" s="22">
        <f t="shared" si="210"/>
        <v>0</v>
      </c>
      <c r="AB573" s="424">
        <f t="shared" si="214"/>
        <v>0</v>
      </c>
      <c r="AC573" s="424">
        <f t="shared" si="215"/>
        <v>0</v>
      </c>
    </row>
    <row r="574" spans="1:29" s="269" customFormat="1" ht="14.25" customHeight="1" x14ac:dyDescent="0.25">
      <c r="A574" s="272"/>
      <c r="B574" s="276"/>
      <c r="C574" s="266"/>
      <c r="D574" s="354" t="s">
        <v>545</v>
      </c>
      <c r="E574" s="267"/>
      <c r="F574" s="277">
        <v>83</v>
      </c>
      <c r="G574" s="278"/>
      <c r="H574" s="151"/>
      <c r="I574" s="151"/>
      <c r="J574" s="151"/>
      <c r="N574" s="268"/>
      <c r="O574" s="268"/>
      <c r="P574" s="315"/>
      <c r="R574" s="270">
        <f t="shared" si="217"/>
        <v>137802.98632707773</v>
      </c>
      <c r="S574" s="274">
        <f t="shared" si="218"/>
        <v>59478.143316736874</v>
      </c>
      <c r="T574" s="443">
        <f t="shared" si="219"/>
        <v>59260.108579088461</v>
      </c>
      <c r="U574" s="445"/>
      <c r="V574" s="443">
        <f t="shared" si="198"/>
        <v>78542.87774798926</v>
      </c>
      <c r="W574" s="295">
        <f t="shared" si="220"/>
        <v>78324.843010340846</v>
      </c>
      <c r="X574" s="231">
        <f t="shared" si="211"/>
        <v>59478.143316736874</v>
      </c>
      <c r="Y574" s="231">
        <f t="shared" si="212"/>
        <v>0</v>
      </c>
      <c r="Z574" s="232">
        <f t="shared" si="213"/>
        <v>78324.843010340846</v>
      </c>
      <c r="AA574" s="22">
        <f t="shared" si="210"/>
        <v>0</v>
      </c>
      <c r="AB574" s="424">
        <f t="shared" si="214"/>
        <v>0</v>
      </c>
      <c r="AC574" s="424">
        <f t="shared" si="215"/>
        <v>0</v>
      </c>
    </row>
    <row r="575" spans="1:29" s="149" customFormat="1" ht="14.25" customHeight="1" x14ac:dyDescent="0.25">
      <c r="A575" s="152"/>
      <c r="B575" s="143"/>
      <c r="C575" s="154"/>
      <c r="D575" s="143"/>
      <c r="E575" s="155"/>
      <c r="F575" s="206"/>
      <c r="G575" s="142"/>
      <c r="H575" s="157"/>
      <c r="I575" s="157"/>
      <c r="J575" s="157"/>
      <c r="K575" s="171"/>
      <c r="L575" s="171"/>
      <c r="M575" s="171"/>
      <c r="N575" s="158"/>
      <c r="O575" s="158"/>
      <c r="P575" s="159"/>
      <c r="Q575" s="171"/>
      <c r="R575" s="215"/>
      <c r="S575" s="213"/>
      <c r="T575" s="443"/>
      <c r="U575" s="451"/>
      <c r="V575" s="443"/>
      <c r="W575" s="214"/>
      <c r="X575" s="231">
        <f t="shared" si="211"/>
        <v>0</v>
      </c>
      <c r="Y575" s="231">
        <f t="shared" si="212"/>
        <v>0</v>
      </c>
      <c r="Z575" s="232">
        <f t="shared" si="213"/>
        <v>0</v>
      </c>
      <c r="AA575" s="22">
        <f t="shared" si="210"/>
        <v>0</v>
      </c>
      <c r="AB575" s="424">
        <f t="shared" si="214"/>
        <v>0</v>
      </c>
      <c r="AC575" s="424">
        <f t="shared" si="215"/>
        <v>0</v>
      </c>
    </row>
    <row r="576" spans="1:29" s="257" customFormat="1" ht="14.25" customHeight="1" x14ac:dyDescent="0.25">
      <c r="A576" s="224">
        <f>SUM(A569+1)</f>
        <v>134</v>
      </c>
      <c r="B576" s="225" t="s">
        <v>235</v>
      </c>
      <c r="C576" s="226">
        <v>466</v>
      </c>
      <c r="D576" s="225" t="s">
        <v>234</v>
      </c>
      <c r="E576" s="251">
        <v>10</v>
      </c>
      <c r="F576" s="245">
        <f>F578+F579+F580</f>
        <v>934.3</v>
      </c>
      <c r="G576" s="258">
        <v>1989</v>
      </c>
      <c r="H576" s="237">
        <f>SUM(Лист1!G153)</f>
        <v>2471984.8199999998</v>
      </c>
      <c r="I576" s="237">
        <f>SUM(Лист1!H153)</f>
        <v>1096367.44</v>
      </c>
      <c r="J576" s="237">
        <f>SUM(Лист1!I153)</f>
        <v>1297.46</v>
      </c>
      <c r="K576" s="261"/>
      <c r="L576" s="261"/>
      <c r="M576" s="261"/>
      <c r="N576" s="252">
        <v>24175.02</v>
      </c>
      <c r="O576" s="252">
        <v>21928.560000000001</v>
      </c>
      <c r="P576" s="259">
        <v>25.83</v>
      </c>
      <c r="Q576" s="261"/>
      <c r="R576" s="231">
        <f t="shared" ref="R576" si="221">SUM(H576+N576)</f>
        <v>2496159.84</v>
      </c>
      <c r="S576" s="231">
        <f>SUM(I576+O576-J576)</f>
        <v>1116998.54</v>
      </c>
      <c r="T576" s="443">
        <f>S576-3*U576</f>
        <v>1113028.67</v>
      </c>
      <c r="U576" s="445">
        <f t="shared" si="203"/>
        <v>1323.29</v>
      </c>
      <c r="V576" s="443">
        <f t="shared" si="198"/>
        <v>1383131.17</v>
      </c>
      <c r="W576" s="238">
        <f t="shared" si="181"/>
        <v>1379161.2999999998</v>
      </c>
      <c r="X576" s="231">
        <f t="shared" si="211"/>
        <v>1115675.25</v>
      </c>
      <c r="Y576" s="231">
        <f t="shared" si="212"/>
        <v>1323.29</v>
      </c>
      <c r="Z576" s="232">
        <f t="shared" si="213"/>
        <v>1380484.5899999999</v>
      </c>
      <c r="AA576" s="22">
        <f t="shared" si="210"/>
        <v>0</v>
      </c>
      <c r="AB576" s="424">
        <f t="shared" si="214"/>
        <v>3.7289282772690058E-11</v>
      </c>
      <c r="AC576" s="424">
        <f t="shared" si="215"/>
        <v>0</v>
      </c>
    </row>
    <row r="577" spans="1:29" s="269" customFormat="1" ht="14.25" customHeight="1" x14ac:dyDescent="0.25">
      <c r="A577" s="272"/>
      <c r="B577" s="276"/>
      <c r="C577" s="266"/>
      <c r="D577" s="353" t="s">
        <v>518</v>
      </c>
      <c r="E577" s="267"/>
      <c r="F577" s="277"/>
      <c r="G577" s="265"/>
      <c r="H577" s="151"/>
      <c r="I577" s="151"/>
      <c r="J577" s="151"/>
      <c r="N577" s="268"/>
      <c r="O577" s="268"/>
      <c r="P577" s="315"/>
      <c r="R577" s="274"/>
      <c r="S577" s="274"/>
      <c r="T577" s="443"/>
      <c r="U577" s="445"/>
      <c r="V577" s="443"/>
      <c r="W577" s="295"/>
      <c r="X577" s="231">
        <f t="shared" si="211"/>
        <v>0</v>
      </c>
      <c r="Y577" s="231">
        <f t="shared" si="212"/>
        <v>0</v>
      </c>
      <c r="Z577" s="232">
        <f t="shared" si="213"/>
        <v>0</v>
      </c>
      <c r="AA577" s="22">
        <f t="shared" si="210"/>
        <v>0</v>
      </c>
      <c r="AB577" s="424">
        <f t="shared" si="214"/>
        <v>0</v>
      </c>
      <c r="AC577" s="424">
        <f t="shared" si="215"/>
        <v>0</v>
      </c>
    </row>
    <row r="578" spans="1:29" s="269" customFormat="1" ht="14.25" customHeight="1" x14ac:dyDescent="0.25">
      <c r="A578" s="272"/>
      <c r="B578" s="276"/>
      <c r="C578" s="266"/>
      <c r="D578" s="354" t="s">
        <v>591</v>
      </c>
      <c r="E578" s="267"/>
      <c r="F578" s="277">
        <v>61.55</v>
      </c>
      <c r="G578" s="265"/>
      <c r="H578" s="151"/>
      <c r="I578" s="151"/>
      <c r="J578" s="151"/>
      <c r="N578" s="268"/>
      <c r="O578" s="268"/>
      <c r="P578" s="315"/>
      <c r="R578" s="274">
        <f>$R$576/$F$576*F578</f>
        <v>164442.51113346888</v>
      </c>
      <c r="S578" s="274">
        <f>1116998.54/934.3*F578</f>
        <v>73585.850515894257</v>
      </c>
      <c r="T578" s="443">
        <f>$T$576/$F$576*F578</f>
        <v>73324.322635663062</v>
      </c>
      <c r="U578" s="445"/>
      <c r="V578" s="443">
        <f t="shared" si="198"/>
        <v>91118.188497805822</v>
      </c>
      <c r="W578" s="295">
        <f>SUM(R578-S578)</f>
        <v>90856.660617574627</v>
      </c>
      <c r="X578" s="231">
        <f t="shared" si="211"/>
        <v>73585.850515894257</v>
      </c>
      <c r="Y578" s="231">
        <f t="shared" si="212"/>
        <v>0</v>
      </c>
      <c r="Z578" s="232">
        <f t="shared" si="213"/>
        <v>90856.660617574627</v>
      </c>
      <c r="AA578" s="22">
        <f t="shared" si="210"/>
        <v>0</v>
      </c>
      <c r="AB578" s="424">
        <f t="shared" si="214"/>
        <v>0</v>
      </c>
      <c r="AC578" s="424">
        <f t="shared" si="215"/>
        <v>0</v>
      </c>
    </row>
    <row r="579" spans="1:29" s="269" customFormat="1" ht="14.25" customHeight="1" x14ac:dyDescent="0.25">
      <c r="A579" s="272"/>
      <c r="B579" s="276"/>
      <c r="C579" s="266"/>
      <c r="D579" s="354" t="s">
        <v>595</v>
      </c>
      <c r="E579" s="267"/>
      <c r="F579" s="277">
        <v>36.85</v>
      </c>
      <c r="G579" s="265"/>
      <c r="H579" s="151"/>
      <c r="I579" s="151"/>
      <c r="J579" s="151"/>
      <c r="N579" s="268"/>
      <c r="O579" s="268"/>
      <c r="P579" s="315"/>
      <c r="R579" s="274">
        <f t="shared" ref="R579:R580" si="222">$R$576/$F$576*F579</f>
        <v>98451.771490955798</v>
      </c>
      <c r="S579" s="274">
        <f t="shared" ref="S579:S580" si="223">1116998.54/934.3*F579</f>
        <v>44055.866637054482</v>
      </c>
      <c r="T579" s="443">
        <f t="shared" ref="T579:T580" si="224">$T$576/$F$576*F579</f>
        <v>43899.289831424598</v>
      </c>
      <c r="U579" s="445"/>
      <c r="V579" s="443">
        <f t="shared" si="198"/>
        <v>54552.4816595312</v>
      </c>
      <c r="W579" s="295">
        <f t="shared" ref="W579:W580" si="225">SUM(R579-S579)</f>
        <v>54395.904853901317</v>
      </c>
      <c r="X579" s="231">
        <f t="shared" si="211"/>
        <v>44055.866637054482</v>
      </c>
      <c r="Y579" s="231">
        <f t="shared" si="212"/>
        <v>0</v>
      </c>
      <c r="Z579" s="232">
        <f t="shared" si="213"/>
        <v>54395.904853901317</v>
      </c>
      <c r="AA579" s="22">
        <f t="shared" si="210"/>
        <v>0</v>
      </c>
      <c r="AB579" s="424">
        <f t="shared" si="214"/>
        <v>0</v>
      </c>
      <c r="AC579" s="424">
        <f t="shared" si="215"/>
        <v>0</v>
      </c>
    </row>
    <row r="580" spans="1:29" s="149" customFormat="1" ht="14.25" customHeight="1" x14ac:dyDescent="0.25">
      <c r="A580" s="163"/>
      <c r="B580" s="167"/>
      <c r="C580" s="146"/>
      <c r="D580" s="357" t="s">
        <v>470</v>
      </c>
      <c r="E580" s="147"/>
      <c r="F580" s="205">
        <v>835.9</v>
      </c>
      <c r="G580" s="144"/>
      <c r="H580" s="148"/>
      <c r="I580" s="148"/>
      <c r="J580" s="148"/>
      <c r="N580" s="139"/>
      <c r="O580" s="139"/>
      <c r="P580" s="140"/>
      <c r="R580" s="274">
        <f t="shared" si="222"/>
        <v>2233265.557375575</v>
      </c>
      <c r="S580" s="274">
        <f t="shared" si="223"/>
        <v>999356.82284705131</v>
      </c>
      <c r="T580" s="443">
        <f t="shared" si="224"/>
        <v>995805.05753291224</v>
      </c>
      <c r="U580" s="445"/>
      <c r="V580" s="443">
        <f t="shared" si="198"/>
        <v>1237460.4998426628</v>
      </c>
      <c r="W580" s="295">
        <f t="shared" si="225"/>
        <v>1233908.7345285236</v>
      </c>
      <c r="X580" s="231">
        <f t="shared" si="211"/>
        <v>999356.82284705131</v>
      </c>
      <c r="Y580" s="231">
        <f t="shared" si="212"/>
        <v>0</v>
      </c>
      <c r="Z580" s="232">
        <f t="shared" si="213"/>
        <v>1233908.7345285236</v>
      </c>
      <c r="AA580" s="22">
        <f t="shared" si="210"/>
        <v>0</v>
      </c>
      <c r="AB580" s="424">
        <f t="shared" si="214"/>
        <v>0</v>
      </c>
      <c r="AC580" s="424">
        <f t="shared" si="215"/>
        <v>0</v>
      </c>
    </row>
    <row r="581" spans="1:29" s="149" customFormat="1" ht="14.25" customHeight="1" x14ac:dyDescent="0.25">
      <c r="A581" s="152"/>
      <c r="B581" s="143"/>
      <c r="C581" s="154"/>
      <c r="D581" s="373"/>
      <c r="E581" s="155"/>
      <c r="F581" s="206"/>
      <c r="G581" s="156"/>
      <c r="H581" s="157"/>
      <c r="I581" s="157"/>
      <c r="J581" s="157"/>
      <c r="K581" s="171"/>
      <c r="L581" s="171"/>
      <c r="M581" s="171"/>
      <c r="N581" s="158"/>
      <c r="O581" s="158"/>
      <c r="P581" s="159"/>
      <c r="Q581" s="171"/>
      <c r="R581" s="213"/>
      <c r="S581" s="213"/>
      <c r="T581" s="443"/>
      <c r="U581" s="445"/>
      <c r="V581" s="443"/>
      <c r="W581" s="214"/>
      <c r="X581" s="231">
        <f t="shared" si="211"/>
        <v>0</v>
      </c>
      <c r="Y581" s="231">
        <f t="shared" si="212"/>
        <v>0</v>
      </c>
      <c r="Z581" s="232">
        <f t="shared" si="213"/>
        <v>0</v>
      </c>
      <c r="AA581" s="22">
        <f t="shared" si="210"/>
        <v>0</v>
      </c>
      <c r="AB581" s="424">
        <f t="shared" si="214"/>
        <v>0</v>
      </c>
      <c r="AC581" s="424">
        <f t="shared" si="215"/>
        <v>0</v>
      </c>
    </row>
    <row r="582" spans="1:29" s="257" customFormat="1" ht="14.25" customHeight="1" x14ac:dyDescent="0.25">
      <c r="A582" s="313">
        <f>SUM(A576+1)</f>
        <v>135</v>
      </c>
      <c r="B582" s="225" t="s">
        <v>236</v>
      </c>
      <c r="C582" s="226">
        <v>467</v>
      </c>
      <c r="D582" s="225" t="s">
        <v>234</v>
      </c>
      <c r="E582" s="454">
        <v>4</v>
      </c>
      <c r="F582" s="245">
        <v>83.9</v>
      </c>
      <c r="G582" s="258">
        <v>1989</v>
      </c>
      <c r="H582" s="237">
        <f>SUM(Лист1!G154)</f>
        <v>249365.55</v>
      </c>
      <c r="I582" s="237">
        <f>SUM(Лист1!H154)</f>
        <v>103096.25</v>
      </c>
      <c r="J582" s="237">
        <f>SUM(Лист1!I154)</f>
        <v>130.88</v>
      </c>
      <c r="K582" s="261"/>
      <c r="L582" s="261"/>
      <c r="M582" s="261"/>
      <c r="N582" s="252">
        <v>1252.58</v>
      </c>
      <c r="O582" s="252">
        <v>1085.43</v>
      </c>
      <c r="P582" s="259">
        <v>1.1499999999999999</v>
      </c>
      <c r="Q582" s="261"/>
      <c r="R582" s="231">
        <f t="shared" ref="R582" si="226">SUM(H582+N582)</f>
        <v>250618.12999999998</v>
      </c>
      <c r="S582" s="231">
        <f>SUM(I582+O582-J582)</f>
        <v>104050.79999999999</v>
      </c>
      <c r="T582" s="443">
        <f>S582-3*U582</f>
        <v>103654.70999999999</v>
      </c>
      <c r="U582" s="445">
        <f t="shared" si="203"/>
        <v>132.03</v>
      </c>
      <c r="V582" s="443">
        <f t="shared" si="198"/>
        <v>146963.41999999998</v>
      </c>
      <c r="W582" s="238">
        <f t="shared" si="181"/>
        <v>146567.32999999999</v>
      </c>
      <c r="X582" s="231">
        <f t="shared" si="211"/>
        <v>103918.76999999999</v>
      </c>
      <c r="Y582" s="231">
        <f t="shared" si="212"/>
        <v>132.03</v>
      </c>
      <c r="Z582" s="232">
        <f t="shared" si="213"/>
        <v>146699.35999999999</v>
      </c>
      <c r="AA582" s="22">
        <f t="shared" si="210"/>
        <v>0</v>
      </c>
      <c r="AB582" s="424">
        <f t="shared" si="214"/>
        <v>-1.1652900866465643E-12</v>
      </c>
      <c r="AC582" s="424">
        <f t="shared" si="215"/>
        <v>0</v>
      </c>
    </row>
    <row r="583" spans="1:29" s="269" customFormat="1" ht="14.25" customHeight="1" x14ac:dyDescent="0.25">
      <c r="A583" s="272"/>
      <c r="B583" s="276"/>
      <c r="C583" s="266"/>
      <c r="D583" s="353" t="s">
        <v>518</v>
      </c>
      <c r="E583" s="457"/>
      <c r="F583" s="277"/>
      <c r="G583" s="265"/>
      <c r="H583" s="151"/>
      <c r="I583" s="151"/>
      <c r="J583" s="151"/>
      <c r="N583" s="268"/>
      <c r="O583" s="268"/>
      <c r="P583" s="315"/>
      <c r="R583" s="274"/>
      <c r="S583" s="274"/>
      <c r="T583" s="443"/>
      <c r="U583" s="445"/>
      <c r="V583" s="443"/>
      <c r="W583" s="295"/>
      <c r="X583" s="231">
        <f t="shared" si="211"/>
        <v>0</v>
      </c>
      <c r="Y583" s="231">
        <f t="shared" si="212"/>
        <v>0</v>
      </c>
      <c r="Z583" s="232">
        <f t="shared" si="213"/>
        <v>0</v>
      </c>
      <c r="AA583" s="22">
        <f t="shared" si="210"/>
        <v>0</v>
      </c>
      <c r="AB583" s="424">
        <f t="shared" si="214"/>
        <v>0</v>
      </c>
      <c r="AC583" s="424">
        <f t="shared" si="215"/>
        <v>0</v>
      </c>
    </row>
    <row r="584" spans="1:29" s="269" customFormat="1" ht="14.25" customHeight="1" x14ac:dyDescent="0.25">
      <c r="A584" s="272"/>
      <c r="B584" s="276"/>
      <c r="C584" s="266"/>
      <c r="D584" s="354" t="s">
        <v>543</v>
      </c>
      <c r="E584" s="457"/>
      <c r="F584" s="277">
        <v>46.22</v>
      </c>
      <c r="G584" s="265"/>
      <c r="H584" s="151"/>
      <c r="I584" s="151"/>
      <c r="J584" s="151"/>
      <c r="N584" s="268"/>
      <c r="O584" s="268"/>
      <c r="P584" s="315"/>
      <c r="R584" s="274">
        <f>$R$582/$F$582*F584</f>
        <v>138064.00439332536</v>
      </c>
      <c r="S584" s="274">
        <f>S582/F582*F584</f>
        <v>57320.953230035746</v>
      </c>
      <c r="T584" s="443">
        <f>$T$582/$F$582*F584</f>
        <v>57102.749656734202</v>
      </c>
      <c r="U584" s="445"/>
      <c r="V584" s="443">
        <f t="shared" si="198"/>
        <v>80961.25473659116</v>
      </c>
      <c r="W584" s="295">
        <f>SUM(R584-S584)</f>
        <v>80743.051163289609</v>
      </c>
      <c r="X584" s="231">
        <f t="shared" si="211"/>
        <v>57320.953230035746</v>
      </c>
      <c r="Y584" s="231">
        <f t="shared" si="212"/>
        <v>0</v>
      </c>
      <c r="Z584" s="232">
        <f t="shared" si="213"/>
        <v>80743.051163289609</v>
      </c>
      <c r="AA584" s="22">
        <f t="shared" si="210"/>
        <v>0</v>
      </c>
      <c r="AB584" s="424">
        <f t="shared" si="214"/>
        <v>0</v>
      </c>
      <c r="AC584" s="424">
        <f t="shared" si="215"/>
        <v>0</v>
      </c>
    </row>
    <row r="585" spans="1:29" s="269" customFormat="1" ht="14.25" customHeight="1" x14ac:dyDescent="0.25">
      <c r="A585" s="272"/>
      <c r="B585" s="276"/>
      <c r="C585" s="266"/>
      <c r="D585" s="354" t="s">
        <v>596</v>
      </c>
      <c r="E585" s="457"/>
      <c r="F585" s="277">
        <v>37.68</v>
      </c>
      <c r="G585" s="265"/>
      <c r="H585" s="151"/>
      <c r="I585" s="151"/>
      <c r="J585" s="151"/>
      <c r="N585" s="268"/>
      <c r="O585" s="268"/>
      <c r="P585" s="315"/>
      <c r="R585" s="274">
        <f>$R$582/$F$582*F585</f>
        <v>112554.1256066746</v>
      </c>
      <c r="S585" s="274">
        <f>S582/F582*F585</f>
        <v>46729.846769964235</v>
      </c>
      <c r="T585" s="443">
        <f>$T$582/$F$582*F585</f>
        <v>46551.96034326579</v>
      </c>
      <c r="U585" s="445"/>
      <c r="V585" s="443">
        <f t="shared" si="198"/>
        <v>66002.16526340881</v>
      </c>
      <c r="W585" s="295">
        <f>SUM(R585-S585)</f>
        <v>65824.278836710364</v>
      </c>
      <c r="X585" s="231">
        <f t="shared" si="211"/>
        <v>46729.846769964235</v>
      </c>
      <c r="Y585" s="231">
        <f t="shared" si="212"/>
        <v>0</v>
      </c>
      <c r="Z585" s="232">
        <f t="shared" si="213"/>
        <v>65824.278836710364</v>
      </c>
      <c r="AA585" s="22">
        <f t="shared" si="210"/>
        <v>0</v>
      </c>
      <c r="AB585" s="424">
        <f t="shared" si="214"/>
        <v>0</v>
      </c>
      <c r="AC585" s="424">
        <f t="shared" si="215"/>
        <v>0</v>
      </c>
    </row>
    <row r="586" spans="1:29" s="149" customFormat="1" ht="14.25" customHeight="1" x14ac:dyDescent="0.25">
      <c r="A586" s="152"/>
      <c r="B586" s="143"/>
      <c r="C586" s="154"/>
      <c r="D586" s="373"/>
      <c r="E586" s="170"/>
      <c r="F586" s="206"/>
      <c r="G586" s="156"/>
      <c r="H586" s="157"/>
      <c r="I586" s="157"/>
      <c r="J586" s="157"/>
      <c r="K586" s="171"/>
      <c r="L586" s="171"/>
      <c r="M586" s="171"/>
      <c r="N586" s="158"/>
      <c r="O586" s="158"/>
      <c r="P586" s="159"/>
      <c r="Q586" s="171"/>
      <c r="R586" s="213"/>
      <c r="S586" s="213"/>
      <c r="T586" s="443"/>
      <c r="U586" s="445"/>
      <c r="V586" s="443"/>
      <c r="W586" s="214"/>
      <c r="X586" s="231">
        <f t="shared" si="211"/>
        <v>0</v>
      </c>
      <c r="Y586" s="231">
        <f t="shared" si="212"/>
        <v>0</v>
      </c>
      <c r="Z586" s="232">
        <f t="shared" si="213"/>
        <v>0</v>
      </c>
      <c r="AA586" s="22">
        <f t="shared" si="210"/>
        <v>0</v>
      </c>
      <c r="AB586" s="424">
        <f t="shared" si="214"/>
        <v>0</v>
      </c>
      <c r="AC586" s="424">
        <f t="shared" si="215"/>
        <v>0</v>
      </c>
    </row>
    <row r="587" spans="1:29" s="257" customFormat="1" ht="14.25" customHeight="1" x14ac:dyDescent="0.25">
      <c r="A587" s="224">
        <f>SUM(A582+1)</f>
        <v>136</v>
      </c>
      <c r="B587" s="225" t="s">
        <v>237</v>
      </c>
      <c r="C587" s="226">
        <v>468</v>
      </c>
      <c r="D587" s="225" t="s">
        <v>238</v>
      </c>
      <c r="E587" s="454">
        <v>85</v>
      </c>
      <c r="F587" s="252">
        <v>31.65</v>
      </c>
      <c r="G587" s="248">
        <v>1989</v>
      </c>
      <c r="H587" s="237">
        <f>SUM(Лист1!G155)</f>
        <v>100821.57</v>
      </c>
      <c r="I587" s="237">
        <f>SUM(Лист1!H155)</f>
        <v>35929.97</v>
      </c>
      <c r="J587" s="237">
        <f>SUM(Лист1!I155)</f>
        <v>52.92</v>
      </c>
      <c r="K587" s="261"/>
      <c r="L587" s="261"/>
      <c r="M587" s="261"/>
      <c r="N587" s="259">
        <v>185.2</v>
      </c>
      <c r="O587" s="259">
        <v>145.07</v>
      </c>
      <c r="P587" s="259">
        <v>0.2</v>
      </c>
      <c r="Q587" s="261"/>
      <c r="R587" s="237">
        <f t="shared" ref="R587" si="227">SUM(H587+N587)</f>
        <v>101006.77</v>
      </c>
      <c r="S587" s="231">
        <f>SUM(I587+O587-J587)</f>
        <v>36022.120000000003</v>
      </c>
      <c r="T587" s="443">
        <f>S587-3*U587</f>
        <v>35862.76</v>
      </c>
      <c r="U587" s="445">
        <f t="shared" si="203"/>
        <v>53.120000000000005</v>
      </c>
      <c r="V587" s="443">
        <f t="shared" si="198"/>
        <v>65144.01</v>
      </c>
      <c r="W587" s="238">
        <f t="shared" si="181"/>
        <v>64984.65</v>
      </c>
      <c r="X587" s="231">
        <f t="shared" si="211"/>
        <v>35969</v>
      </c>
      <c r="Y587" s="231">
        <f t="shared" si="212"/>
        <v>53.120000000000005</v>
      </c>
      <c r="Z587" s="232">
        <f t="shared" si="213"/>
        <v>65037.770000000004</v>
      </c>
      <c r="AA587" s="22">
        <f t="shared" si="210"/>
        <v>0</v>
      </c>
      <c r="AB587" s="424">
        <f t="shared" si="214"/>
        <v>2.6147972675971687E-12</v>
      </c>
      <c r="AC587" s="424">
        <f t="shared" si="215"/>
        <v>0</v>
      </c>
    </row>
    <row r="588" spans="1:29" s="149" customFormat="1" ht="14.25" customHeight="1" x14ac:dyDescent="0.25">
      <c r="A588" s="163"/>
      <c r="B588" s="167"/>
      <c r="C588" s="146"/>
      <c r="D588" s="357" t="s">
        <v>495</v>
      </c>
      <c r="E588" s="169"/>
      <c r="F588" s="139">
        <v>31.65</v>
      </c>
      <c r="G588" s="249"/>
      <c r="H588" s="148"/>
      <c r="I588" s="148"/>
      <c r="J588" s="148"/>
      <c r="N588" s="140"/>
      <c r="O588" s="140"/>
      <c r="P588" s="140"/>
      <c r="R588" s="215"/>
      <c r="S588" s="211"/>
      <c r="T588" s="443"/>
      <c r="U588" s="445"/>
      <c r="V588" s="443"/>
      <c r="W588" s="212"/>
      <c r="X588" s="231">
        <f t="shared" si="211"/>
        <v>0</v>
      </c>
      <c r="Y588" s="231">
        <f t="shared" si="212"/>
        <v>0</v>
      </c>
      <c r="Z588" s="232">
        <f t="shared" si="213"/>
        <v>0</v>
      </c>
      <c r="AA588" s="22">
        <f t="shared" si="210"/>
        <v>0</v>
      </c>
      <c r="AB588" s="424">
        <f t="shared" si="214"/>
        <v>0</v>
      </c>
      <c r="AC588" s="424">
        <f t="shared" si="215"/>
        <v>0</v>
      </c>
    </row>
    <row r="589" spans="1:29" s="149" customFormat="1" ht="14.25" customHeight="1" x14ac:dyDescent="0.25">
      <c r="A589" s="152"/>
      <c r="B589" s="143"/>
      <c r="C589" s="154"/>
      <c r="D589" s="143"/>
      <c r="E589" s="170"/>
      <c r="F589" s="158"/>
      <c r="G589" s="142"/>
      <c r="H589" s="157"/>
      <c r="I589" s="157"/>
      <c r="J589" s="157"/>
      <c r="K589" s="171"/>
      <c r="L589" s="171"/>
      <c r="M589" s="171"/>
      <c r="N589" s="159"/>
      <c r="O589" s="159"/>
      <c r="P589" s="159"/>
      <c r="Q589" s="171"/>
      <c r="R589" s="216"/>
      <c r="S589" s="213"/>
      <c r="T589" s="443"/>
      <c r="U589" s="445"/>
      <c r="V589" s="443"/>
      <c r="W589" s="214"/>
      <c r="X589" s="231">
        <f t="shared" si="211"/>
        <v>0</v>
      </c>
      <c r="Y589" s="231">
        <f t="shared" si="212"/>
        <v>0</v>
      </c>
      <c r="Z589" s="232">
        <f t="shared" si="213"/>
        <v>0</v>
      </c>
      <c r="AA589" s="22">
        <f t="shared" si="210"/>
        <v>0</v>
      </c>
      <c r="AB589" s="424">
        <f t="shared" si="214"/>
        <v>0</v>
      </c>
      <c r="AC589" s="424">
        <f t="shared" si="215"/>
        <v>0</v>
      </c>
    </row>
    <row r="590" spans="1:29" s="257" customFormat="1" ht="14.25" customHeight="1" x14ac:dyDescent="0.25">
      <c r="A590" s="224">
        <f>SUM(A587+1)</f>
        <v>137</v>
      </c>
      <c r="B590" s="225" t="s">
        <v>239</v>
      </c>
      <c r="C590" s="226">
        <v>470</v>
      </c>
      <c r="D590" s="225" t="s">
        <v>240</v>
      </c>
      <c r="E590" s="454">
        <v>1</v>
      </c>
      <c r="F590" s="252">
        <f>F592+F593</f>
        <v>116.39000000000001</v>
      </c>
      <c r="G590" s="248">
        <v>1989</v>
      </c>
      <c r="H590" s="237">
        <f>SUM(Лист1!G156)</f>
        <v>160444.76</v>
      </c>
      <c r="I590" s="237">
        <f>SUM(Лист1!H156)</f>
        <v>59313.3</v>
      </c>
      <c r="J590" s="237">
        <f>SUM(Лист1!I156)</f>
        <v>84.21</v>
      </c>
      <c r="K590" s="261"/>
      <c r="L590" s="261"/>
      <c r="M590" s="261"/>
      <c r="N590" s="338">
        <v>757.2</v>
      </c>
      <c r="O590" s="338">
        <v>605.42999999999995</v>
      </c>
      <c r="P590" s="338">
        <v>0.74</v>
      </c>
      <c r="Q590" s="261"/>
      <c r="R590" s="237">
        <f t="shared" ref="R590" si="228">SUM(H590+N590)</f>
        <v>161201.96000000002</v>
      </c>
      <c r="S590" s="231">
        <f>SUM(I590+O590-J590)</f>
        <v>59834.520000000004</v>
      </c>
      <c r="T590" s="443">
        <f>S590-3*U590</f>
        <v>59579.670000000006</v>
      </c>
      <c r="U590" s="445">
        <f t="shared" si="203"/>
        <v>84.949999999999989</v>
      </c>
      <c r="V590" s="443">
        <f t="shared" si="198"/>
        <v>101622.29000000001</v>
      </c>
      <c r="W590" s="238">
        <f t="shared" si="181"/>
        <v>101367.44000000002</v>
      </c>
      <c r="X590" s="231">
        <f t="shared" si="211"/>
        <v>59749.570000000007</v>
      </c>
      <c r="Y590" s="231">
        <f t="shared" si="212"/>
        <v>84.949999999999989</v>
      </c>
      <c r="Z590" s="232">
        <f t="shared" si="213"/>
        <v>101452.39000000001</v>
      </c>
      <c r="AA590" s="22">
        <f t="shared" si="210"/>
        <v>0</v>
      </c>
      <c r="AB590" s="424">
        <f t="shared" si="214"/>
        <v>-2.8990143619012088E-12</v>
      </c>
      <c r="AC590" s="424">
        <f t="shared" si="215"/>
        <v>0</v>
      </c>
    </row>
    <row r="591" spans="1:29" s="269" customFormat="1" ht="14.25" customHeight="1" x14ac:dyDescent="0.25">
      <c r="A591" s="272"/>
      <c r="B591" s="276"/>
      <c r="C591" s="266"/>
      <c r="D591" s="353" t="s">
        <v>518</v>
      </c>
      <c r="E591" s="457"/>
      <c r="F591" s="268"/>
      <c r="G591" s="278"/>
      <c r="H591" s="151"/>
      <c r="I591" s="151"/>
      <c r="J591" s="151"/>
      <c r="N591" s="315"/>
      <c r="O591" s="315"/>
      <c r="P591" s="315"/>
      <c r="R591" s="270"/>
      <c r="S591" s="274"/>
      <c r="T591" s="443"/>
      <c r="U591" s="445"/>
      <c r="V591" s="443"/>
      <c r="W591" s="295"/>
      <c r="X591" s="231">
        <f t="shared" si="211"/>
        <v>0</v>
      </c>
      <c r="Y591" s="231">
        <f t="shared" si="212"/>
        <v>0</v>
      </c>
      <c r="Z591" s="232">
        <f t="shared" si="213"/>
        <v>0</v>
      </c>
      <c r="AA591" s="22">
        <f t="shared" si="210"/>
        <v>0</v>
      </c>
      <c r="AB591" s="424">
        <f t="shared" si="214"/>
        <v>0</v>
      </c>
      <c r="AC591" s="424">
        <f t="shared" si="215"/>
        <v>0</v>
      </c>
    </row>
    <row r="592" spans="1:29" s="269" customFormat="1" ht="14.25" customHeight="1" x14ac:dyDescent="0.25">
      <c r="A592" s="272"/>
      <c r="B592" s="276"/>
      <c r="C592" s="266"/>
      <c r="D592" s="354" t="s">
        <v>531</v>
      </c>
      <c r="E592" s="457"/>
      <c r="F592" s="268">
        <v>67.760000000000005</v>
      </c>
      <c r="G592" s="278"/>
      <c r="H592" s="151"/>
      <c r="I592" s="151"/>
      <c r="J592" s="151"/>
      <c r="N592" s="315"/>
      <c r="O592" s="315"/>
      <c r="P592" s="315"/>
      <c r="R592" s="270">
        <f>$R$590/$F$590*F592</f>
        <v>93848.65374688548</v>
      </c>
      <c r="S592" s="274">
        <f>S590/F590*F592</f>
        <v>34834.496736833062</v>
      </c>
      <c r="T592" s="443">
        <f>$T$590/$F$590*F592</f>
        <v>34686.128010997512</v>
      </c>
      <c r="U592" s="445"/>
      <c r="V592" s="443">
        <f t="shared" ref="V592:V654" si="229">R592-T592</f>
        <v>59162.525735887968</v>
      </c>
      <c r="W592" s="295">
        <f>W590/F590*F592</f>
        <v>59014.157010052411</v>
      </c>
      <c r="X592" s="231">
        <f t="shared" si="211"/>
        <v>34834.496736833062</v>
      </c>
      <c r="Y592" s="231">
        <f t="shared" si="212"/>
        <v>0</v>
      </c>
      <c r="Z592" s="232">
        <f t="shared" si="213"/>
        <v>59014.157010052411</v>
      </c>
      <c r="AA592" s="22">
        <f t="shared" si="210"/>
        <v>0</v>
      </c>
      <c r="AB592" s="424">
        <f t="shared" si="214"/>
        <v>0</v>
      </c>
      <c r="AC592" s="424">
        <f t="shared" si="215"/>
        <v>7.2759576141834259E-12</v>
      </c>
    </row>
    <row r="593" spans="1:29" s="269" customFormat="1" ht="14.25" customHeight="1" x14ac:dyDescent="0.25">
      <c r="A593" s="272"/>
      <c r="B593" s="276"/>
      <c r="C593" s="266"/>
      <c r="D593" s="354" t="s">
        <v>623</v>
      </c>
      <c r="E593" s="457"/>
      <c r="F593" s="268">
        <v>48.63</v>
      </c>
      <c r="G593" s="278"/>
      <c r="H593" s="151"/>
      <c r="I593" s="151"/>
      <c r="J593" s="151"/>
      <c r="N593" s="315"/>
      <c r="O593" s="315"/>
      <c r="P593" s="315"/>
      <c r="R593" s="270">
        <f>$R$590/$F$590*F593</f>
        <v>67353.306253114541</v>
      </c>
      <c r="S593" s="274">
        <f>S590/F590*F593</f>
        <v>25000.023263166939</v>
      </c>
      <c r="T593" s="443">
        <f>$T$590/$F$590*F593</f>
        <v>24893.541989002493</v>
      </c>
      <c r="U593" s="445"/>
      <c r="V593" s="443">
        <f t="shared" si="229"/>
        <v>42459.764264112047</v>
      </c>
      <c r="W593" s="295">
        <f>W590/F590*F593</f>
        <v>42353.282989947591</v>
      </c>
      <c r="X593" s="231">
        <f t="shared" si="211"/>
        <v>25000.023263166939</v>
      </c>
      <c r="Y593" s="231">
        <f t="shared" si="212"/>
        <v>0</v>
      </c>
      <c r="Z593" s="232">
        <f t="shared" si="213"/>
        <v>42353.282989947591</v>
      </c>
      <c r="AA593" s="22">
        <f t="shared" si="210"/>
        <v>0</v>
      </c>
      <c r="AB593" s="424">
        <f t="shared" si="214"/>
        <v>0</v>
      </c>
      <c r="AC593" s="424">
        <f t="shared" si="215"/>
        <v>1.4551915228366852E-11</v>
      </c>
    </row>
    <row r="594" spans="1:29" s="149" customFormat="1" ht="14.25" customHeight="1" x14ac:dyDescent="0.25">
      <c r="A594" s="152"/>
      <c r="B594" s="143"/>
      <c r="C594" s="154"/>
      <c r="D594" s="143"/>
      <c r="E594" s="170"/>
      <c r="F594" s="158"/>
      <c r="G594" s="142"/>
      <c r="H594" s="157"/>
      <c r="I594" s="157"/>
      <c r="J594" s="157"/>
      <c r="K594" s="171"/>
      <c r="L594" s="171"/>
      <c r="M594" s="171"/>
      <c r="N594" s="197"/>
      <c r="O594" s="197"/>
      <c r="P594" s="197"/>
      <c r="Q594" s="171"/>
      <c r="R594" s="216"/>
      <c r="S594" s="213"/>
      <c r="T594" s="443"/>
      <c r="U594" s="451"/>
      <c r="V594" s="443"/>
      <c r="W594" s="216"/>
      <c r="X594" s="231">
        <f t="shared" si="211"/>
        <v>0</v>
      </c>
      <c r="Y594" s="231">
        <f t="shared" si="212"/>
        <v>0</v>
      </c>
      <c r="Z594" s="232">
        <f t="shared" si="213"/>
        <v>0</v>
      </c>
      <c r="AA594" s="22">
        <f t="shared" si="210"/>
        <v>0</v>
      </c>
      <c r="AB594" s="424">
        <f t="shared" si="214"/>
        <v>0</v>
      </c>
      <c r="AC594" s="424">
        <f t="shared" si="215"/>
        <v>0</v>
      </c>
    </row>
    <row r="595" spans="1:29" s="306" customFormat="1" ht="14.25" customHeight="1" x14ac:dyDescent="0.25">
      <c r="A595" s="313">
        <f>SUM(A590+1)</f>
        <v>138</v>
      </c>
      <c r="B595" s="307" t="s">
        <v>241</v>
      </c>
      <c r="C595" s="348">
        <v>471</v>
      </c>
      <c r="D595" s="307" t="s">
        <v>234</v>
      </c>
      <c r="E595" s="469">
        <v>6</v>
      </c>
      <c r="F595" s="321">
        <f>F597+F598</f>
        <v>129</v>
      </c>
      <c r="G595" s="339">
        <v>1986</v>
      </c>
      <c r="H595" s="310">
        <f>SUM(Лист1!G157)</f>
        <v>317608.21999999997</v>
      </c>
      <c r="I595" s="310">
        <f>SUM(Лист1!H157)</f>
        <v>127326.46</v>
      </c>
      <c r="J595" s="310">
        <f>SUM(Лист1!I157)</f>
        <v>168.94</v>
      </c>
      <c r="K595" s="311"/>
      <c r="L595" s="311"/>
      <c r="M595" s="311"/>
      <c r="N595" s="311"/>
      <c r="O595" s="311"/>
      <c r="P595" s="311"/>
      <c r="Q595" s="311"/>
      <c r="R595" s="314">
        <f t="shared" si="205"/>
        <v>317608.21999999997</v>
      </c>
      <c r="S595" s="231">
        <f>SUM(I595+O595-J595)</f>
        <v>127157.52</v>
      </c>
      <c r="T595" s="443">
        <f>S595-3*U595</f>
        <v>126650.7</v>
      </c>
      <c r="U595" s="445">
        <f t="shared" ref="U595:U654" si="230">J595+P595</f>
        <v>168.94</v>
      </c>
      <c r="V595" s="443">
        <f t="shared" si="229"/>
        <v>190957.51999999996</v>
      </c>
      <c r="W595" s="312">
        <f t="shared" si="181"/>
        <v>190450.69999999995</v>
      </c>
      <c r="X595" s="231">
        <f t="shared" si="211"/>
        <v>126988.58</v>
      </c>
      <c r="Y595" s="231">
        <f t="shared" si="212"/>
        <v>168.94</v>
      </c>
      <c r="Z595" s="232">
        <f t="shared" si="213"/>
        <v>190619.63999999996</v>
      </c>
      <c r="AA595" s="22">
        <f t="shared" si="210"/>
        <v>0</v>
      </c>
      <c r="AB595" s="424">
        <f t="shared" si="214"/>
        <v>2.3305801732931286E-12</v>
      </c>
      <c r="AC595" s="424">
        <f t="shared" si="215"/>
        <v>0</v>
      </c>
    </row>
    <row r="596" spans="1:29" s="275" customFormat="1" ht="14.25" customHeight="1" x14ac:dyDescent="0.25">
      <c r="A596" s="272"/>
      <c r="B596" s="276"/>
      <c r="C596" s="266"/>
      <c r="D596" s="353" t="s">
        <v>518</v>
      </c>
      <c r="E596" s="457"/>
      <c r="F596" s="277"/>
      <c r="G596" s="278"/>
      <c r="H596" s="151"/>
      <c r="I596" s="151"/>
      <c r="J596" s="151"/>
      <c r="K596" s="269"/>
      <c r="L596" s="269"/>
      <c r="M596" s="269"/>
      <c r="N596" s="269"/>
      <c r="O596" s="269"/>
      <c r="P596" s="269"/>
      <c r="Q596" s="269"/>
      <c r="R596" s="274"/>
      <c r="S596" s="274"/>
      <c r="T596" s="443"/>
      <c r="U596" s="445"/>
      <c r="V596" s="443"/>
      <c r="W596" s="295"/>
      <c r="X596" s="231">
        <f t="shared" si="211"/>
        <v>0</v>
      </c>
      <c r="Y596" s="231">
        <f t="shared" si="212"/>
        <v>0</v>
      </c>
      <c r="Z596" s="232">
        <f t="shared" si="213"/>
        <v>0</v>
      </c>
      <c r="AA596" s="22">
        <f t="shared" si="210"/>
        <v>0</v>
      </c>
      <c r="AB596" s="424">
        <f t="shared" si="214"/>
        <v>0</v>
      </c>
      <c r="AC596" s="424">
        <f t="shared" si="215"/>
        <v>0</v>
      </c>
    </row>
    <row r="597" spans="1:29" s="275" customFormat="1" ht="14.25" customHeight="1" x14ac:dyDescent="0.25">
      <c r="A597" s="272"/>
      <c r="B597" s="276"/>
      <c r="C597" s="266"/>
      <c r="D597" s="354" t="s">
        <v>597</v>
      </c>
      <c r="E597" s="457"/>
      <c r="F597" s="277">
        <v>64.5</v>
      </c>
      <c r="G597" s="278"/>
      <c r="H597" s="151"/>
      <c r="I597" s="151"/>
      <c r="J597" s="151"/>
      <c r="K597" s="269"/>
      <c r="L597" s="269"/>
      <c r="M597" s="269"/>
      <c r="N597" s="269"/>
      <c r="O597" s="269"/>
      <c r="P597" s="269"/>
      <c r="Q597" s="269"/>
      <c r="R597" s="274">
        <f>$R$595/$F$595*F597</f>
        <v>158804.10999999999</v>
      </c>
      <c r="S597" s="274">
        <f>S595/F595*F597</f>
        <v>63578.76</v>
      </c>
      <c r="T597" s="443">
        <f>$T$595/$F$595*F597</f>
        <v>63325.35</v>
      </c>
      <c r="U597" s="445"/>
      <c r="V597" s="443">
        <f t="shared" si="229"/>
        <v>95478.75999999998</v>
      </c>
      <c r="W597" s="295">
        <f>W595/F595*F597</f>
        <v>95225.349999999977</v>
      </c>
      <c r="X597" s="231">
        <f t="shared" si="211"/>
        <v>63578.76</v>
      </c>
      <c r="Y597" s="231">
        <f t="shared" si="212"/>
        <v>0</v>
      </c>
      <c r="Z597" s="232">
        <f t="shared" si="213"/>
        <v>95225.349999999977</v>
      </c>
      <c r="AA597" s="22">
        <f t="shared" si="210"/>
        <v>0</v>
      </c>
      <c r="AB597" s="424">
        <f t="shared" si="214"/>
        <v>0</v>
      </c>
      <c r="AC597" s="424">
        <f t="shared" si="215"/>
        <v>0</v>
      </c>
    </row>
    <row r="598" spans="1:29" s="275" customFormat="1" ht="14.25" customHeight="1" x14ac:dyDescent="0.25">
      <c r="A598" s="272"/>
      <c r="B598" s="276"/>
      <c r="C598" s="266"/>
      <c r="D598" s="354" t="s">
        <v>598</v>
      </c>
      <c r="E598" s="457"/>
      <c r="F598" s="277">
        <v>64.5</v>
      </c>
      <c r="G598" s="278"/>
      <c r="H598" s="151"/>
      <c r="I598" s="151"/>
      <c r="J598" s="151"/>
      <c r="K598" s="269"/>
      <c r="L598" s="269"/>
      <c r="M598" s="269"/>
      <c r="N598" s="269"/>
      <c r="O598" s="269"/>
      <c r="P598" s="269"/>
      <c r="Q598" s="269"/>
      <c r="R598" s="274">
        <f>$R$595/$F$595*F598</f>
        <v>158804.10999999999</v>
      </c>
      <c r="S598" s="274">
        <f>S595/F595*F598</f>
        <v>63578.76</v>
      </c>
      <c r="T598" s="443">
        <f>$T$595/$F$595*F598</f>
        <v>63325.35</v>
      </c>
      <c r="U598" s="445"/>
      <c r="V598" s="443">
        <f t="shared" si="229"/>
        <v>95478.75999999998</v>
      </c>
      <c r="W598" s="295">
        <f>W595/F595*F598</f>
        <v>95225.349999999977</v>
      </c>
      <c r="X598" s="231">
        <f t="shared" si="211"/>
        <v>63578.76</v>
      </c>
      <c r="Y598" s="231">
        <f t="shared" si="212"/>
        <v>0</v>
      </c>
      <c r="Z598" s="232">
        <f t="shared" si="213"/>
        <v>95225.349999999977</v>
      </c>
      <c r="AA598" s="22">
        <f t="shared" si="210"/>
        <v>0</v>
      </c>
      <c r="AB598" s="424">
        <f t="shared" si="214"/>
        <v>0</v>
      </c>
      <c r="AC598" s="424">
        <f t="shared" si="215"/>
        <v>0</v>
      </c>
    </row>
    <row r="599" spans="1:29" s="275" customFormat="1" ht="14.25" customHeight="1" x14ac:dyDescent="0.25">
      <c r="A599" s="340"/>
      <c r="B599" s="293"/>
      <c r="C599" s="341"/>
      <c r="D599" s="293"/>
      <c r="E599" s="470"/>
      <c r="F599" s="355"/>
      <c r="G599" s="343"/>
      <c r="H599" s="344"/>
      <c r="I599" s="344"/>
      <c r="J599" s="344"/>
      <c r="K599" s="345"/>
      <c r="L599" s="345"/>
      <c r="M599" s="345"/>
      <c r="N599" s="345"/>
      <c r="O599" s="345"/>
      <c r="P599" s="345"/>
      <c r="Q599" s="345"/>
      <c r="R599" s="322"/>
      <c r="S599" s="322"/>
      <c r="T599" s="443"/>
      <c r="U599" s="445"/>
      <c r="V599" s="443"/>
      <c r="W599" s="322"/>
      <c r="X599" s="231">
        <f t="shared" si="211"/>
        <v>0</v>
      </c>
      <c r="Y599" s="231">
        <f t="shared" si="212"/>
        <v>0</v>
      </c>
      <c r="Z599" s="232">
        <f t="shared" si="213"/>
        <v>0</v>
      </c>
      <c r="AA599" s="22">
        <f t="shared" si="210"/>
        <v>0</v>
      </c>
      <c r="AB599" s="424">
        <f t="shared" si="214"/>
        <v>0</v>
      </c>
      <c r="AC599" s="424">
        <f t="shared" si="215"/>
        <v>0</v>
      </c>
    </row>
    <row r="600" spans="1:29" s="306" customFormat="1" ht="14.25" customHeight="1" x14ac:dyDescent="0.25">
      <c r="A600" s="313">
        <f>SUM(A595+1)</f>
        <v>139</v>
      </c>
      <c r="B600" s="307" t="s">
        <v>242</v>
      </c>
      <c r="C600" s="348">
        <v>472</v>
      </c>
      <c r="D600" s="307" t="s">
        <v>234</v>
      </c>
      <c r="E600" s="469">
        <v>2</v>
      </c>
      <c r="F600" s="308">
        <v>479</v>
      </c>
      <c r="G600" s="339">
        <v>1988</v>
      </c>
      <c r="H600" s="310">
        <f>SUM(Лист1!G158)</f>
        <v>1211106.72</v>
      </c>
      <c r="I600" s="310">
        <f>SUM(Лист1!H158)</f>
        <v>532628.5</v>
      </c>
      <c r="J600" s="310">
        <f>SUM(Лист1!I158)</f>
        <v>638.45000000000005</v>
      </c>
      <c r="K600" s="311"/>
      <c r="L600" s="311"/>
      <c r="M600" s="311"/>
      <c r="N600" s="319">
        <v>840.03</v>
      </c>
      <c r="O600" s="319">
        <v>795.74</v>
      </c>
      <c r="P600" s="319">
        <v>0.91</v>
      </c>
      <c r="Q600" s="311"/>
      <c r="R600" s="237">
        <f t="shared" ref="R600" si="231">SUM(H600+N600)</f>
        <v>1211946.75</v>
      </c>
      <c r="S600" s="231">
        <f>SUM(I600+O600-J600)</f>
        <v>532785.79</v>
      </c>
      <c r="T600" s="443">
        <f>S600-3*U600</f>
        <v>530867.71000000008</v>
      </c>
      <c r="U600" s="445">
        <f t="shared" si="230"/>
        <v>639.36</v>
      </c>
      <c r="V600" s="443">
        <f t="shared" si="229"/>
        <v>681079.03999999992</v>
      </c>
      <c r="W600" s="312">
        <f t="shared" si="181"/>
        <v>679160.96</v>
      </c>
      <c r="X600" s="231">
        <f t="shared" si="211"/>
        <v>532146.43000000005</v>
      </c>
      <c r="Y600" s="231">
        <f t="shared" si="212"/>
        <v>639.36</v>
      </c>
      <c r="Z600" s="232">
        <f t="shared" si="213"/>
        <v>679800.31999999995</v>
      </c>
      <c r="AA600" s="22">
        <f t="shared" si="210"/>
        <v>0</v>
      </c>
      <c r="AB600" s="424">
        <f t="shared" si="214"/>
        <v>-1.3983481039758772E-11</v>
      </c>
      <c r="AC600" s="424">
        <f t="shared" si="215"/>
        <v>0</v>
      </c>
    </row>
    <row r="601" spans="1:29" s="275" customFormat="1" ht="14.25" customHeight="1" x14ac:dyDescent="0.25">
      <c r="A601" s="272"/>
      <c r="B601" s="276"/>
      <c r="C601" s="266"/>
      <c r="D601" s="353" t="s">
        <v>470</v>
      </c>
      <c r="E601" s="457"/>
      <c r="F601" s="268">
        <v>479</v>
      </c>
      <c r="G601" s="278"/>
      <c r="H601" s="151"/>
      <c r="I601" s="151"/>
      <c r="J601" s="151"/>
      <c r="K601" s="269"/>
      <c r="L601" s="269"/>
      <c r="M601" s="269"/>
      <c r="N601" s="315"/>
      <c r="O601" s="315"/>
      <c r="P601" s="315"/>
      <c r="Q601" s="269"/>
      <c r="R601" s="270"/>
      <c r="S601" s="274"/>
      <c r="T601" s="443"/>
      <c r="U601" s="445"/>
      <c r="V601" s="443"/>
      <c r="W601" s="295"/>
      <c r="X601" s="231">
        <f t="shared" si="211"/>
        <v>0</v>
      </c>
      <c r="Y601" s="231">
        <f t="shared" si="212"/>
        <v>0</v>
      </c>
      <c r="Z601" s="232">
        <f t="shared" si="213"/>
        <v>0</v>
      </c>
      <c r="AA601" s="22">
        <f t="shared" si="210"/>
        <v>0</v>
      </c>
      <c r="AB601" s="424">
        <f t="shared" si="214"/>
        <v>0</v>
      </c>
      <c r="AC601" s="424">
        <f t="shared" si="215"/>
        <v>0</v>
      </c>
    </row>
    <row r="602" spans="1:29" s="275" customFormat="1" ht="14.25" customHeight="1" x14ac:dyDescent="0.25">
      <c r="A602" s="340"/>
      <c r="B602" s="293"/>
      <c r="C602" s="341"/>
      <c r="D602" s="293"/>
      <c r="E602" s="470"/>
      <c r="F602" s="342"/>
      <c r="G602" s="343"/>
      <c r="H602" s="344"/>
      <c r="I602" s="344"/>
      <c r="J602" s="344"/>
      <c r="K602" s="345"/>
      <c r="L602" s="345"/>
      <c r="M602" s="345"/>
      <c r="N602" s="350"/>
      <c r="O602" s="350"/>
      <c r="P602" s="350"/>
      <c r="Q602" s="345"/>
      <c r="R602" s="346"/>
      <c r="S602" s="322"/>
      <c r="T602" s="443"/>
      <c r="U602" s="445"/>
      <c r="V602" s="443"/>
      <c r="W602" s="347"/>
      <c r="X602" s="231">
        <f t="shared" si="211"/>
        <v>0</v>
      </c>
      <c r="Y602" s="231">
        <f t="shared" si="212"/>
        <v>0</v>
      </c>
      <c r="Z602" s="232">
        <f t="shared" si="213"/>
        <v>0</v>
      </c>
      <c r="AA602" s="22">
        <f t="shared" si="210"/>
        <v>0</v>
      </c>
      <c r="AB602" s="424">
        <f t="shared" si="214"/>
        <v>0</v>
      </c>
      <c r="AC602" s="424">
        <f t="shared" si="215"/>
        <v>0</v>
      </c>
    </row>
    <row r="603" spans="1:29" s="306" customFormat="1" ht="14.25" customHeight="1" x14ac:dyDescent="0.25">
      <c r="A603" s="313">
        <f>SUM(A600+1)</f>
        <v>140</v>
      </c>
      <c r="B603" s="307" t="s">
        <v>243</v>
      </c>
      <c r="C603" s="348">
        <v>473</v>
      </c>
      <c r="D603" s="307" t="s">
        <v>234</v>
      </c>
      <c r="E603" s="469">
        <v>24</v>
      </c>
      <c r="F603" s="321">
        <f>F605+F607+F606</f>
        <v>152.75</v>
      </c>
      <c r="G603" s="309">
        <v>1988</v>
      </c>
      <c r="H603" s="310">
        <f>SUM(Лист1!G159)</f>
        <v>532705.21</v>
      </c>
      <c r="I603" s="310">
        <f>SUM(Лист1!H159)</f>
        <v>224805.33</v>
      </c>
      <c r="J603" s="310">
        <f>SUM(Лист1!I159)</f>
        <v>279.01</v>
      </c>
      <c r="K603" s="311"/>
      <c r="L603" s="311"/>
      <c r="M603" s="311"/>
      <c r="N603" s="308">
        <v>1791.69</v>
      </c>
      <c r="O603" s="308">
        <v>1582.07</v>
      </c>
      <c r="P603" s="319">
        <v>1.92</v>
      </c>
      <c r="Q603" s="311"/>
      <c r="R603" s="231">
        <f t="shared" ref="R603" si="232">SUM(H603+N603)</f>
        <v>534496.89999999991</v>
      </c>
      <c r="S603" s="231">
        <f>SUM(I603+O603-J603)</f>
        <v>226108.38999999998</v>
      </c>
      <c r="T603" s="443">
        <f>S603-3*U603</f>
        <v>225265.59999999998</v>
      </c>
      <c r="U603" s="445">
        <f t="shared" si="230"/>
        <v>280.93</v>
      </c>
      <c r="V603" s="443">
        <f t="shared" si="229"/>
        <v>309231.29999999993</v>
      </c>
      <c r="W603" s="312">
        <f t="shared" si="181"/>
        <v>308388.50999999989</v>
      </c>
      <c r="X603" s="231">
        <f t="shared" si="211"/>
        <v>225827.46</v>
      </c>
      <c r="Y603" s="231">
        <f t="shared" si="212"/>
        <v>280.93</v>
      </c>
      <c r="Z603" s="232">
        <f t="shared" si="213"/>
        <v>308669.43999999989</v>
      </c>
      <c r="AA603" s="22">
        <f t="shared" si="210"/>
        <v>0</v>
      </c>
      <c r="AB603" s="424">
        <f t="shared" si="214"/>
        <v>-6.9917405198793858E-12</v>
      </c>
      <c r="AC603" s="424">
        <f t="shared" si="215"/>
        <v>5.8207660913467407E-11</v>
      </c>
    </row>
    <row r="604" spans="1:29" s="275" customFormat="1" ht="14.25" customHeight="1" x14ac:dyDescent="0.25">
      <c r="A604" s="272"/>
      <c r="B604" s="276"/>
      <c r="C604" s="266"/>
      <c r="D604" s="353" t="s">
        <v>518</v>
      </c>
      <c r="E604" s="267"/>
      <c r="F604" s="277"/>
      <c r="G604" s="265"/>
      <c r="H604" s="151"/>
      <c r="I604" s="151"/>
      <c r="J604" s="151"/>
      <c r="K604" s="269"/>
      <c r="L604" s="269"/>
      <c r="M604" s="269"/>
      <c r="N604" s="268"/>
      <c r="O604" s="268"/>
      <c r="P604" s="315"/>
      <c r="Q604" s="269"/>
      <c r="R604" s="279"/>
      <c r="S604" s="274"/>
      <c r="T604" s="443"/>
      <c r="U604" s="445"/>
      <c r="V604" s="443"/>
      <c r="W604" s="295"/>
      <c r="X604" s="231">
        <f t="shared" si="211"/>
        <v>0</v>
      </c>
      <c r="Y604" s="231">
        <f t="shared" si="212"/>
        <v>0</v>
      </c>
      <c r="Z604" s="232">
        <f t="shared" si="213"/>
        <v>0</v>
      </c>
      <c r="AA604" s="22">
        <f t="shared" si="210"/>
        <v>0</v>
      </c>
      <c r="AB604" s="424">
        <f t="shared" si="214"/>
        <v>0</v>
      </c>
      <c r="AC604" s="424">
        <f t="shared" si="215"/>
        <v>0</v>
      </c>
    </row>
    <row r="605" spans="1:29" s="275" customFormat="1" ht="14.25" customHeight="1" x14ac:dyDescent="0.25">
      <c r="A605" s="272"/>
      <c r="B605" s="276"/>
      <c r="C605" s="266"/>
      <c r="D605" s="354" t="s">
        <v>523</v>
      </c>
      <c r="E605" s="267"/>
      <c r="F605" s="277">
        <v>50.9</v>
      </c>
      <c r="G605" s="265"/>
      <c r="H605" s="151"/>
      <c r="I605" s="151"/>
      <c r="J605" s="151"/>
      <c r="K605" s="269"/>
      <c r="L605" s="269"/>
      <c r="M605" s="269"/>
      <c r="N605" s="268"/>
      <c r="O605" s="268"/>
      <c r="P605" s="315"/>
      <c r="Q605" s="269"/>
      <c r="R605" s="279">
        <f>$R$603/$F$603*F605</f>
        <v>178107.31397708671</v>
      </c>
      <c r="S605" s="274">
        <f>226108.39/152.75*F605</f>
        <v>75344.792477905066</v>
      </c>
      <c r="T605" s="443">
        <f>$T$603/$F$603*F605</f>
        <v>75063.954435351872</v>
      </c>
      <c r="U605" s="445"/>
      <c r="V605" s="443">
        <f t="shared" si="229"/>
        <v>103043.35954173484</v>
      </c>
      <c r="W605" s="295">
        <f>SUM(R605-S605)</f>
        <v>102762.52149918165</v>
      </c>
      <c r="X605" s="231">
        <f t="shared" si="211"/>
        <v>75344.792477905066</v>
      </c>
      <c r="Y605" s="231">
        <f t="shared" si="212"/>
        <v>0</v>
      </c>
      <c r="Z605" s="232">
        <f t="shared" si="213"/>
        <v>102762.52149918165</v>
      </c>
      <c r="AA605" s="22">
        <f t="shared" si="210"/>
        <v>0</v>
      </c>
      <c r="AB605" s="424">
        <f t="shared" si="214"/>
        <v>0</v>
      </c>
      <c r="AC605" s="424">
        <f t="shared" si="215"/>
        <v>0</v>
      </c>
    </row>
    <row r="606" spans="1:29" s="275" customFormat="1" ht="14.25" customHeight="1" x14ac:dyDescent="0.25">
      <c r="A606" s="272"/>
      <c r="B606" s="276"/>
      <c r="C606" s="266"/>
      <c r="D606" s="354" t="s">
        <v>599</v>
      </c>
      <c r="E606" s="267"/>
      <c r="F606" s="277">
        <v>49.3</v>
      </c>
      <c r="G606" s="265"/>
      <c r="H606" s="151"/>
      <c r="I606" s="151"/>
      <c r="J606" s="151"/>
      <c r="K606" s="269"/>
      <c r="L606" s="269"/>
      <c r="M606" s="269"/>
      <c r="N606" s="268"/>
      <c r="O606" s="268"/>
      <c r="P606" s="315"/>
      <c r="Q606" s="269"/>
      <c r="R606" s="279">
        <f t="shared" ref="R606:R607" si="233">$R$603/$F$603*F606</f>
        <v>172508.65577741404</v>
      </c>
      <c r="S606" s="274">
        <f t="shared" ref="S606:S607" si="234">226108.39/152.75*F606</f>
        <v>72976.390356792137</v>
      </c>
      <c r="T606" s="443">
        <f t="shared" ref="T606:T607" si="235">$T$603/$F$603*F606</f>
        <v>72704.380229132556</v>
      </c>
      <c r="U606" s="445"/>
      <c r="V606" s="443">
        <f t="shared" si="229"/>
        <v>99804.275548281483</v>
      </c>
      <c r="W606" s="295">
        <f t="shared" ref="W606:W607" si="236">SUM(R606-S606)</f>
        <v>99532.265420621901</v>
      </c>
      <c r="X606" s="231">
        <f t="shared" si="211"/>
        <v>72976.390356792137</v>
      </c>
      <c r="Y606" s="231">
        <f t="shared" si="212"/>
        <v>0</v>
      </c>
      <c r="Z606" s="232">
        <f t="shared" si="213"/>
        <v>99532.265420621901</v>
      </c>
      <c r="AA606" s="22">
        <f t="shared" si="210"/>
        <v>0</v>
      </c>
      <c r="AB606" s="424">
        <f t="shared" si="214"/>
        <v>0</v>
      </c>
      <c r="AC606" s="424">
        <f t="shared" si="215"/>
        <v>0</v>
      </c>
    </row>
    <row r="607" spans="1:29" s="275" customFormat="1" ht="14.25" customHeight="1" x14ac:dyDescent="0.25">
      <c r="A607" s="272"/>
      <c r="B607" s="276"/>
      <c r="C607" s="266"/>
      <c r="D607" s="354" t="s">
        <v>600</v>
      </c>
      <c r="E607" s="267"/>
      <c r="F607" s="277">
        <v>52.55</v>
      </c>
      <c r="G607" s="265"/>
      <c r="H607" s="151"/>
      <c r="I607" s="151"/>
      <c r="J607" s="151"/>
      <c r="K607" s="269"/>
      <c r="L607" s="269"/>
      <c r="M607" s="269"/>
      <c r="N607" s="268"/>
      <c r="O607" s="268"/>
      <c r="P607" s="315"/>
      <c r="Q607" s="269"/>
      <c r="R607" s="279">
        <f t="shared" si="233"/>
        <v>183880.93024549913</v>
      </c>
      <c r="S607" s="274">
        <f t="shared" si="234"/>
        <v>77787.207165302782</v>
      </c>
      <c r="T607" s="443">
        <f t="shared" si="235"/>
        <v>77497.265335515534</v>
      </c>
      <c r="U607" s="445"/>
      <c r="V607" s="443">
        <f t="shared" si="229"/>
        <v>106383.66490998359</v>
      </c>
      <c r="W607" s="295">
        <f t="shared" si="236"/>
        <v>106093.72308019635</v>
      </c>
      <c r="X607" s="231">
        <f t="shared" si="211"/>
        <v>77787.207165302782</v>
      </c>
      <c r="Y607" s="231">
        <f t="shared" si="212"/>
        <v>0</v>
      </c>
      <c r="Z607" s="232">
        <f t="shared" si="213"/>
        <v>106093.72308019635</v>
      </c>
      <c r="AA607" s="22">
        <f t="shared" si="210"/>
        <v>0</v>
      </c>
      <c r="AB607" s="424">
        <f t="shared" si="214"/>
        <v>0</v>
      </c>
      <c r="AC607" s="424">
        <f t="shared" si="215"/>
        <v>0</v>
      </c>
    </row>
    <row r="608" spans="1:29" s="275" customFormat="1" ht="14.25" customHeight="1" x14ac:dyDescent="0.25">
      <c r="A608" s="340"/>
      <c r="B608" s="293"/>
      <c r="C608" s="341"/>
      <c r="D608" s="293"/>
      <c r="E608" s="294"/>
      <c r="F608" s="355"/>
      <c r="G608" s="349"/>
      <c r="H608" s="344"/>
      <c r="I608" s="344"/>
      <c r="J608" s="344"/>
      <c r="K608" s="345"/>
      <c r="L608" s="345"/>
      <c r="M608" s="345"/>
      <c r="N608" s="342"/>
      <c r="O608" s="342"/>
      <c r="P608" s="350"/>
      <c r="Q608" s="345"/>
      <c r="R608" s="428"/>
      <c r="S608" s="322"/>
      <c r="T608" s="443"/>
      <c r="U608" s="445"/>
      <c r="V608" s="443"/>
      <c r="W608" s="322"/>
      <c r="X608" s="231">
        <f t="shared" si="211"/>
        <v>0</v>
      </c>
      <c r="Y608" s="231">
        <f t="shared" si="212"/>
        <v>0</v>
      </c>
      <c r="Z608" s="232">
        <f t="shared" si="213"/>
        <v>0</v>
      </c>
      <c r="AA608" s="22">
        <f t="shared" si="210"/>
        <v>0</v>
      </c>
      <c r="AB608" s="424">
        <f t="shared" si="214"/>
        <v>0</v>
      </c>
      <c r="AC608" s="424">
        <f t="shared" si="215"/>
        <v>0</v>
      </c>
    </row>
    <row r="609" spans="1:31" s="306" customFormat="1" ht="14.25" customHeight="1" x14ac:dyDescent="0.25">
      <c r="A609" s="313">
        <f>SUM(A603+1)</f>
        <v>141</v>
      </c>
      <c r="B609" s="307" t="s">
        <v>244</v>
      </c>
      <c r="C609" s="348">
        <v>474</v>
      </c>
      <c r="D609" s="307" t="s">
        <v>234</v>
      </c>
      <c r="E609" s="469">
        <v>22</v>
      </c>
      <c r="F609" s="308">
        <f>F612+F613+F614+F615+F611</f>
        <v>226.40000000000003</v>
      </c>
      <c r="G609" s="339">
        <v>1988</v>
      </c>
      <c r="H609" s="310">
        <f>SUM(Лист1!G160)</f>
        <v>1235871.54</v>
      </c>
      <c r="I609" s="310">
        <f>SUM(Лист1!H160)</f>
        <v>265946.15000000002</v>
      </c>
      <c r="J609" s="310">
        <f>SUM(Лист1!I160)</f>
        <v>328.96</v>
      </c>
      <c r="K609" s="311"/>
      <c r="L609" s="311"/>
      <c r="M609" s="311"/>
      <c r="N609" s="319">
        <v>630.42999999999995</v>
      </c>
      <c r="O609" s="319">
        <v>551.77</v>
      </c>
      <c r="P609" s="319">
        <v>1.32</v>
      </c>
      <c r="Q609" s="311"/>
      <c r="R609" s="237">
        <f t="shared" ref="R609" si="237">SUM(H609+N609)</f>
        <v>1236501.97</v>
      </c>
      <c r="S609" s="231">
        <f>SUM(I609+O609-J609)</f>
        <v>266168.96000000002</v>
      </c>
      <c r="T609" s="443">
        <f>S609-3*U609</f>
        <v>265178.12</v>
      </c>
      <c r="U609" s="445">
        <f t="shared" si="230"/>
        <v>330.28</v>
      </c>
      <c r="V609" s="443">
        <f t="shared" si="229"/>
        <v>971323.85</v>
      </c>
      <c r="W609" s="312">
        <f t="shared" si="181"/>
        <v>970333.01</v>
      </c>
      <c r="X609" s="231">
        <f t="shared" si="211"/>
        <v>265838.68</v>
      </c>
      <c r="Y609" s="231">
        <f t="shared" si="212"/>
        <v>330.28</v>
      </c>
      <c r="Z609" s="232">
        <f t="shared" si="213"/>
        <v>970663.29</v>
      </c>
      <c r="AA609" s="22">
        <f t="shared" si="210"/>
        <v>0</v>
      </c>
      <c r="AB609" s="424">
        <f t="shared" si="214"/>
        <v>2.7966962079517543E-11</v>
      </c>
      <c r="AC609" s="424">
        <f t="shared" si="215"/>
        <v>0</v>
      </c>
    </row>
    <row r="610" spans="1:31" s="275" customFormat="1" ht="14.25" customHeight="1" x14ac:dyDescent="0.25">
      <c r="A610" s="272"/>
      <c r="B610" s="276"/>
      <c r="C610" s="266"/>
      <c r="D610" s="353" t="s">
        <v>473</v>
      </c>
      <c r="E610" s="457"/>
      <c r="F610" s="268">
        <v>10.1</v>
      </c>
      <c r="G610" s="278"/>
      <c r="H610" s="151"/>
      <c r="I610" s="151"/>
      <c r="J610" s="151"/>
      <c r="K610" s="269"/>
      <c r="L610" s="269"/>
      <c r="M610" s="269"/>
      <c r="N610" s="315"/>
      <c r="O610" s="315"/>
      <c r="P610" s="315"/>
      <c r="Q610" s="269"/>
      <c r="R610" s="270">
        <f>$R$609/$F$609*F610</f>
        <v>55161.969509717303</v>
      </c>
      <c r="S610" s="274"/>
      <c r="T610" s="443">
        <f>$T$609/$F$609*F610</f>
        <v>11829.942632508832</v>
      </c>
      <c r="U610" s="445"/>
      <c r="V610" s="443">
        <f t="shared" si="229"/>
        <v>43332.026877208467</v>
      </c>
      <c r="W610" s="295"/>
      <c r="X610" s="231">
        <f t="shared" si="211"/>
        <v>0</v>
      </c>
      <c r="Y610" s="231">
        <f t="shared" si="212"/>
        <v>0</v>
      </c>
      <c r="Z610" s="232">
        <f t="shared" si="213"/>
        <v>0</v>
      </c>
      <c r="AA610" s="22">
        <f t="shared" si="210"/>
        <v>0</v>
      </c>
      <c r="AB610" s="424">
        <f t="shared" si="214"/>
        <v>0</v>
      </c>
      <c r="AC610" s="424">
        <f t="shared" si="215"/>
        <v>55161.969509717303</v>
      </c>
    </row>
    <row r="611" spans="1:31" s="275" customFormat="1" ht="14.25" customHeight="1" x14ac:dyDescent="0.25">
      <c r="A611" s="272"/>
      <c r="B611" s="276"/>
      <c r="C611" s="266"/>
      <c r="D611" s="353" t="s">
        <v>518</v>
      </c>
      <c r="E611" s="457"/>
      <c r="F611" s="268"/>
      <c r="G611" s="278"/>
      <c r="H611" s="151"/>
      <c r="I611" s="151"/>
      <c r="J611" s="151"/>
      <c r="K611" s="269"/>
      <c r="L611" s="269"/>
      <c r="M611" s="269"/>
      <c r="N611" s="315"/>
      <c r="O611" s="315"/>
      <c r="P611" s="315"/>
      <c r="Q611" s="269"/>
      <c r="R611" s="270"/>
      <c r="S611" s="274"/>
      <c r="T611" s="443"/>
      <c r="U611" s="445"/>
      <c r="V611" s="443"/>
      <c r="W611" s="295"/>
      <c r="X611" s="231"/>
      <c r="Y611" s="231"/>
      <c r="Z611" s="232"/>
      <c r="AA611" s="22"/>
      <c r="AB611" s="424"/>
      <c r="AC611" s="424"/>
    </row>
    <row r="612" spans="1:31" s="275" customFormat="1" ht="14.25" customHeight="1" x14ac:dyDescent="0.25">
      <c r="A612" s="272"/>
      <c r="B612" s="276"/>
      <c r="C612" s="266"/>
      <c r="D612" s="354" t="s">
        <v>601</v>
      </c>
      <c r="E612" s="457"/>
      <c r="F612" s="268">
        <v>49.89</v>
      </c>
      <c r="G612" s="278"/>
      <c r="H612" s="151"/>
      <c r="I612" s="151"/>
      <c r="J612" s="151"/>
      <c r="K612" s="269"/>
      <c r="L612" s="269"/>
      <c r="M612" s="269"/>
      <c r="N612" s="315"/>
      <c r="O612" s="315"/>
      <c r="P612" s="315"/>
      <c r="Q612" s="269"/>
      <c r="R612" s="270">
        <f>$R$609/$F$609*F612</f>
        <v>272478.28305344522</v>
      </c>
      <c r="S612" s="274">
        <f>266168.96/226.4*F612</f>
        <v>58653.575151943463</v>
      </c>
      <c r="T612" s="443">
        <f>$T$609/$F$609*F612</f>
        <v>58435.231478798574</v>
      </c>
      <c r="U612" s="445"/>
      <c r="V612" s="443">
        <f t="shared" si="229"/>
        <v>214043.05157464664</v>
      </c>
      <c r="W612" s="295">
        <f>SUM(R612-S612)</f>
        <v>213824.70790150177</v>
      </c>
      <c r="X612" s="231">
        <f t="shared" si="211"/>
        <v>58653.575151943463</v>
      </c>
      <c r="Y612" s="231">
        <f t="shared" si="212"/>
        <v>0</v>
      </c>
      <c r="Z612" s="232">
        <f t="shared" si="213"/>
        <v>213824.70790150177</v>
      </c>
      <c r="AA612" s="22">
        <f t="shared" si="210"/>
        <v>0</v>
      </c>
      <c r="AB612" s="424">
        <f t="shared" si="214"/>
        <v>0</v>
      </c>
      <c r="AC612" s="424">
        <f t="shared" si="215"/>
        <v>0</v>
      </c>
    </row>
    <row r="613" spans="1:31" s="275" customFormat="1" ht="14.25" customHeight="1" x14ac:dyDescent="0.25">
      <c r="A613" s="272"/>
      <c r="B613" s="276"/>
      <c r="C613" s="266"/>
      <c r="D613" s="354" t="s">
        <v>582</v>
      </c>
      <c r="E613" s="457"/>
      <c r="F613" s="268">
        <v>63.51</v>
      </c>
      <c r="G613" s="278"/>
      <c r="H613" s="151"/>
      <c r="I613" s="151"/>
      <c r="J613" s="151"/>
      <c r="K613" s="269"/>
      <c r="L613" s="269"/>
      <c r="M613" s="269"/>
      <c r="N613" s="315"/>
      <c r="O613" s="315"/>
      <c r="P613" s="315"/>
      <c r="Q613" s="269"/>
      <c r="R613" s="270">
        <f t="shared" ref="R613:R615" si="238">$R$609/$F$609*F613</f>
        <v>346865.01817446994</v>
      </c>
      <c r="S613" s="274">
        <f t="shared" ref="S613:S615" si="239">266168.96/226.4*F613</f>
        <v>74666.03643816254</v>
      </c>
      <c r="T613" s="443">
        <f t="shared" ref="T613:T615" si="240">$T$609/$F$609*F613</f>
        <v>74388.084810954038</v>
      </c>
      <c r="U613" s="445"/>
      <c r="V613" s="443">
        <f t="shared" si="229"/>
        <v>272476.93336351588</v>
      </c>
      <c r="W613" s="295">
        <f t="shared" ref="W613:W615" si="241">SUM(R613-S613)</f>
        <v>272198.98173630738</v>
      </c>
      <c r="X613" s="231">
        <f t="shared" si="211"/>
        <v>74666.03643816254</v>
      </c>
      <c r="Y613" s="231">
        <f t="shared" si="212"/>
        <v>0</v>
      </c>
      <c r="Z613" s="232">
        <f t="shared" si="213"/>
        <v>272198.98173630738</v>
      </c>
      <c r="AA613" s="22">
        <f t="shared" si="210"/>
        <v>0</v>
      </c>
      <c r="AB613" s="424">
        <f t="shared" si="214"/>
        <v>0</v>
      </c>
      <c r="AC613" s="424">
        <f t="shared" si="215"/>
        <v>0</v>
      </c>
    </row>
    <row r="614" spans="1:31" s="275" customFormat="1" ht="14.25" customHeight="1" x14ac:dyDescent="0.25">
      <c r="A614" s="272"/>
      <c r="B614" s="276"/>
      <c r="C614" s="266"/>
      <c r="D614" s="354" t="s">
        <v>541</v>
      </c>
      <c r="E614" s="457"/>
      <c r="F614" s="268">
        <v>50.2</v>
      </c>
      <c r="G614" s="278"/>
      <c r="H614" s="151"/>
      <c r="I614" s="151"/>
      <c r="J614" s="151"/>
      <c r="K614" s="269"/>
      <c r="L614" s="269"/>
      <c r="M614" s="269"/>
      <c r="N614" s="315"/>
      <c r="O614" s="315"/>
      <c r="P614" s="315"/>
      <c r="Q614" s="269"/>
      <c r="R614" s="270">
        <f t="shared" si="238"/>
        <v>274171.37320671376</v>
      </c>
      <c r="S614" s="274">
        <f t="shared" si="239"/>
        <v>59018.02911660778</v>
      </c>
      <c r="T614" s="443">
        <f t="shared" si="240"/>
        <v>58798.328727915185</v>
      </c>
      <c r="U614" s="445"/>
      <c r="V614" s="443">
        <f t="shared" si="229"/>
        <v>215373.04447879858</v>
      </c>
      <c r="W614" s="295">
        <f t="shared" si="241"/>
        <v>215153.34409010597</v>
      </c>
      <c r="X614" s="231">
        <f t="shared" si="211"/>
        <v>59018.02911660778</v>
      </c>
      <c r="Y614" s="231">
        <f t="shared" si="212"/>
        <v>0</v>
      </c>
      <c r="Z614" s="232">
        <f t="shared" si="213"/>
        <v>215153.34409010597</v>
      </c>
      <c r="AA614" s="22">
        <f t="shared" si="210"/>
        <v>0</v>
      </c>
      <c r="AB614" s="424">
        <f t="shared" si="214"/>
        <v>0</v>
      </c>
      <c r="AC614" s="424">
        <f t="shared" si="215"/>
        <v>0</v>
      </c>
    </row>
    <row r="615" spans="1:31" s="275" customFormat="1" ht="14.25" customHeight="1" x14ac:dyDescent="0.25">
      <c r="A615" s="272"/>
      <c r="B615" s="276"/>
      <c r="C615" s="266"/>
      <c r="D615" s="354" t="s">
        <v>537</v>
      </c>
      <c r="E615" s="457"/>
      <c r="F615" s="268">
        <v>62.8</v>
      </c>
      <c r="G615" s="278"/>
      <c r="H615" s="151"/>
      <c r="I615" s="151"/>
      <c r="J615" s="151"/>
      <c r="K615" s="269"/>
      <c r="L615" s="269"/>
      <c r="M615" s="269"/>
      <c r="N615" s="315"/>
      <c r="O615" s="315"/>
      <c r="P615" s="315"/>
      <c r="Q615" s="269"/>
      <c r="R615" s="270">
        <f t="shared" si="238"/>
        <v>342987.29556537099</v>
      </c>
      <c r="S615" s="274">
        <f t="shared" si="239"/>
        <v>73831.319293286215</v>
      </c>
      <c r="T615" s="443">
        <f t="shared" si="240"/>
        <v>73556.474982332133</v>
      </c>
      <c r="U615" s="445"/>
      <c r="V615" s="443">
        <f t="shared" si="229"/>
        <v>269430.82058303885</v>
      </c>
      <c r="W615" s="295">
        <f t="shared" si="241"/>
        <v>269155.97627208475</v>
      </c>
      <c r="X615" s="231">
        <f t="shared" si="211"/>
        <v>73831.319293286215</v>
      </c>
      <c r="Y615" s="231">
        <f t="shared" si="212"/>
        <v>0</v>
      </c>
      <c r="Z615" s="232">
        <f t="shared" si="213"/>
        <v>269155.97627208475</v>
      </c>
      <c r="AA615" s="22">
        <f t="shared" si="210"/>
        <v>0</v>
      </c>
      <c r="AB615" s="424">
        <f t="shared" si="214"/>
        <v>0</v>
      </c>
      <c r="AC615" s="424">
        <f t="shared" si="215"/>
        <v>0</v>
      </c>
      <c r="AE615" s="508"/>
    </row>
    <row r="616" spans="1:31" s="306" customFormat="1" ht="14.25" customHeight="1" x14ac:dyDescent="0.25">
      <c r="A616" s="313">
        <f>A609+1</f>
        <v>142</v>
      </c>
      <c r="B616" s="307" t="s">
        <v>246</v>
      </c>
      <c r="C616" s="348">
        <v>477</v>
      </c>
      <c r="D616" s="307" t="s">
        <v>247</v>
      </c>
      <c r="E616" s="469">
        <v>38</v>
      </c>
      <c r="F616" s="308">
        <f>F618+F619+F620</f>
        <v>162.29000000000002</v>
      </c>
      <c r="G616" s="339">
        <v>1985</v>
      </c>
      <c r="H616" s="310">
        <f>SUM(Лист1!G162)</f>
        <v>522068.59</v>
      </c>
      <c r="I616" s="310">
        <f>SUM(Лист1!H162)</f>
        <v>220076.77</v>
      </c>
      <c r="J616" s="310">
        <f>SUM(Лист1!I162)</f>
        <v>281.45</v>
      </c>
      <c r="K616" s="311"/>
      <c r="L616" s="311"/>
      <c r="M616" s="311"/>
      <c r="N616" s="308">
        <v>3816.43</v>
      </c>
      <c r="O616" s="308">
        <v>3418.66</v>
      </c>
      <c r="P616" s="319">
        <v>4.29</v>
      </c>
      <c r="Q616" s="311"/>
      <c r="R616" s="310">
        <f t="shared" si="205"/>
        <v>525885.02</v>
      </c>
      <c r="S616" s="231">
        <f>SUM(I616+O616-J616)</f>
        <v>223213.97999999998</v>
      </c>
      <c r="T616" s="443">
        <f>S616-3*U616</f>
        <v>222356.75999999998</v>
      </c>
      <c r="U616" s="445">
        <f t="shared" si="230"/>
        <v>285.74</v>
      </c>
      <c r="V616" s="443">
        <f t="shared" si="229"/>
        <v>303528.26</v>
      </c>
      <c r="W616" s="312">
        <f t="shared" si="181"/>
        <v>302671.04000000004</v>
      </c>
      <c r="X616" s="231">
        <f t="shared" si="211"/>
        <v>222928.24</v>
      </c>
      <c r="Y616" s="231">
        <f t="shared" si="212"/>
        <v>285.74</v>
      </c>
      <c r="Z616" s="232">
        <f t="shared" si="213"/>
        <v>302956.78000000003</v>
      </c>
      <c r="AA616" s="22">
        <f t="shared" si="210"/>
        <v>0</v>
      </c>
      <c r="AB616" s="424">
        <f t="shared" si="214"/>
        <v>-9.3223206931725144E-12</v>
      </c>
      <c r="AC616" s="424">
        <f t="shared" si="215"/>
        <v>0</v>
      </c>
      <c r="AE616" s="507"/>
    </row>
    <row r="617" spans="1:31" s="275" customFormat="1" ht="14.25" customHeight="1" x14ac:dyDescent="0.25">
      <c r="A617" s="272"/>
      <c r="B617" s="276"/>
      <c r="C617" s="266"/>
      <c r="D617" s="353" t="s">
        <v>518</v>
      </c>
      <c r="E617" s="457"/>
      <c r="F617" s="268"/>
      <c r="G617" s="278"/>
      <c r="H617" s="151"/>
      <c r="I617" s="151"/>
      <c r="J617" s="151"/>
      <c r="K617" s="269"/>
      <c r="L617" s="269"/>
      <c r="M617" s="269"/>
      <c r="N617" s="268"/>
      <c r="O617" s="268"/>
      <c r="P617" s="315"/>
      <c r="Q617" s="269"/>
      <c r="R617" s="270"/>
      <c r="S617" s="274"/>
      <c r="T617" s="443"/>
      <c r="U617" s="445"/>
      <c r="V617" s="443"/>
      <c r="W617" s="295"/>
      <c r="X617" s="231">
        <f t="shared" si="211"/>
        <v>0</v>
      </c>
      <c r="Y617" s="231">
        <f t="shared" si="212"/>
        <v>0</v>
      </c>
      <c r="Z617" s="232">
        <f t="shared" si="213"/>
        <v>0</v>
      </c>
      <c r="AA617" s="22">
        <f t="shared" ref="AA617:AA670" si="242">SUM(U617-Y617)</f>
        <v>0</v>
      </c>
      <c r="AB617" s="424">
        <f t="shared" si="214"/>
        <v>0</v>
      </c>
      <c r="AC617" s="424">
        <f t="shared" si="215"/>
        <v>0</v>
      </c>
    </row>
    <row r="618" spans="1:31" s="275" customFormat="1" ht="14.25" customHeight="1" x14ac:dyDescent="0.25">
      <c r="A618" s="272"/>
      <c r="B618" s="276"/>
      <c r="C618" s="266"/>
      <c r="D618" s="354" t="s">
        <v>555</v>
      </c>
      <c r="E618" s="457"/>
      <c r="F618" s="268">
        <v>63.2</v>
      </c>
      <c r="G618" s="278"/>
      <c r="H618" s="151"/>
      <c r="I618" s="151"/>
      <c r="J618" s="151"/>
      <c r="K618" s="269"/>
      <c r="L618" s="269"/>
      <c r="M618" s="269"/>
      <c r="N618" s="268"/>
      <c r="O618" s="268"/>
      <c r="P618" s="315"/>
      <c r="Q618" s="269"/>
      <c r="R618" s="270">
        <f>$R$616/$F$616*F618</f>
        <v>204793.47627087313</v>
      </c>
      <c r="S618" s="274">
        <f>223213.98/162.29*F618</f>
        <v>86925.402279869391</v>
      </c>
      <c r="T618" s="443">
        <f>$T$616/$F$616*F618</f>
        <v>86591.578236490212</v>
      </c>
      <c r="U618" s="445"/>
      <c r="V618" s="443">
        <f t="shared" si="229"/>
        <v>118201.89803438292</v>
      </c>
      <c r="W618" s="295">
        <f>SUM(R618-S618)</f>
        <v>117868.07399100374</v>
      </c>
      <c r="X618" s="231">
        <f t="shared" ref="X618:X671" si="243">SUM(S618-U618)</f>
        <v>86925.402279869391</v>
      </c>
      <c r="Y618" s="231">
        <f t="shared" ref="Y618:Y671" si="244">SUM(U618)</f>
        <v>0</v>
      </c>
      <c r="Z618" s="232">
        <f t="shared" ref="Z618:Z671" si="245">SUM(U618+W618)</f>
        <v>117868.07399100374</v>
      </c>
      <c r="AA618" s="22">
        <f t="shared" si="242"/>
        <v>0</v>
      </c>
      <c r="AB618" s="424">
        <f t="shared" ref="AB618:AB671" si="246">SUM(S618-X618-U618)</f>
        <v>0</v>
      </c>
      <c r="AC618" s="424">
        <f t="shared" ref="AC618:AC671" si="247">SUM(R618-X618-Z618)</f>
        <v>0</v>
      </c>
    </row>
    <row r="619" spans="1:31" s="275" customFormat="1" ht="14.25" customHeight="1" x14ac:dyDescent="0.25">
      <c r="A619" s="272"/>
      <c r="B619" s="276"/>
      <c r="C619" s="266"/>
      <c r="D619" s="354" t="s">
        <v>601</v>
      </c>
      <c r="E619" s="457"/>
      <c r="F619" s="268">
        <v>49.89</v>
      </c>
      <c r="G619" s="278"/>
      <c r="H619" s="151"/>
      <c r="I619" s="151"/>
      <c r="J619" s="151"/>
      <c r="K619" s="269"/>
      <c r="L619" s="269"/>
      <c r="M619" s="269"/>
      <c r="N619" s="268"/>
      <c r="O619" s="268"/>
      <c r="P619" s="315"/>
      <c r="Q619" s="269"/>
      <c r="R619" s="270">
        <f t="shared" ref="R619:R620" si="248">$R$616/$F$616*F619</f>
        <v>161663.7109359788</v>
      </c>
      <c r="S619" s="274">
        <f t="shared" ref="S619:S620" si="249">223213.98/162.29*F619</f>
        <v>68618.802527574109</v>
      </c>
      <c r="T619" s="443">
        <f t="shared" ref="T619:T620" si="250">$T$616/$F$616*F619</f>
        <v>68355.282250292672</v>
      </c>
      <c r="U619" s="445"/>
      <c r="V619" s="443">
        <f t="shared" si="229"/>
        <v>93308.428685686129</v>
      </c>
      <c r="W619" s="295">
        <f t="shared" ref="W619:W620" si="251">SUM(R619-S619)</f>
        <v>93044.908408404692</v>
      </c>
      <c r="X619" s="231">
        <f t="shared" si="243"/>
        <v>68618.802527574109</v>
      </c>
      <c r="Y619" s="231">
        <f t="shared" si="244"/>
        <v>0</v>
      </c>
      <c r="Z619" s="232">
        <f t="shared" si="245"/>
        <v>93044.908408404692</v>
      </c>
      <c r="AA619" s="22">
        <f t="shared" si="242"/>
        <v>0</v>
      </c>
      <c r="AB619" s="424">
        <f t="shared" si="246"/>
        <v>0</v>
      </c>
      <c r="AC619" s="424">
        <f t="shared" si="247"/>
        <v>0</v>
      </c>
    </row>
    <row r="620" spans="1:31" s="275" customFormat="1" ht="14.25" customHeight="1" x14ac:dyDescent="0.25">
      <c r="A620" s="272"/>
      <c r="B620" s="276"/>
      <c r="C620" s="266"/>
      <c r="D620" s="354" t="s">
        <v>581</v>
      </c>
      <c r="E620" s="457"/>
      <c r="F620" s="268">
        <v>49.2</v>
      </c>
      <c r="G620" s="278"/>
      <c r="H620" s="151"/>
      <c r="I620" s="151"/>
      <c r="J620" s="151"/>
      <c r="K620" s="269"/>
      <c r="L620" s="269"/>
      <c r="M620" s="269"/>
      <c r="N620" s="268"/>
      <c r="O620" s="268"/>
      <c r="P620" s="315"/>
      <c r="Q620" s="269"/>
      <c r="R620" s="270">
        <f t="shared" si="248"/>
        <v>159427.83279314806</v>
      </c>
      <c r="S620" s="274">
        <f t="shared" si="249"/>
        <v>67669.775192556554</v>
      </c>
      <c r="T620" s="443">
        <f t="shared" si="250"/>
        <v>67409.899513217068</v>
      </c>
      <c r="U620" s="445"/>
      <c r="V620" s="443">
        <f t="shared" si="229"/>
        <v>92017.933279930992</v>
      </c>
      <c r="W620" s="295">
        <f t="shared" si="251"/>
        <v>91758.057600591506</v>
      </c>
      <c r="X620" s="231">
        <f t="shared" si="243"/>
        <v>67669.775192556554</v>
      </c>
      <c r="Y620" s="231">
        <f t="shared" si="244"/>
        <v>0</v>
      </c>
      <c r="Z620" s="232">
        <f t="shared" si="245"/>
        <v>91758.057600591506</v>
      </c>
      <c r="AA620" s="22">
        <f t="shared" si="242"/>
        <v>0</v>
      </c>
      <c r="AB620" s="424">
        <f t="shared" si="246"/>
        <v>0</v>
      </c>
      <c r="AC620" s="424">
        <f t="shared" si="247"/>
        <v>0</v>
      </c>
    </row>
    <row r="621" spans="1:31" ht="14.25" customHeight="1" x14ac:dyDescent="0.25">
      <c r="A621" s="152"/>
      <c r="B621" s="143"/>
      <c r="C621" s="154"/>
      <c r="D621" s="143"/>
      <c r="E621" s="170"/>
      <c r="F621" s="158"/>
      <c r="G621" s="142"/>
      <c r="H621" s="157"/>
      <c r="I621" s="157"/>
      <c r="J621" s="157"/>
      <c r="K621" s="171"/>
      <c r="L621" s="171"/>
      <c r="M621" s="171"/>
      <c r="N621" s="158"/>
      <c r="O621" s="158"/>
      <c r="P621" s="159"/>
      <c r="Q621" s="171"/>
      <c r="R621" s="216"/>
      <c r="S621" s="213"/>
      <c r="T621" s="443"/>
      <c r="U621" s="445"/>
      <c r="V621" s="443"/>
      <c r="W621" s="214"/>
      <c r="X621" s="231">
        <f t="shared" si="243"/>
        <v>0</v>
      </c>
      <c r="Y621" s="231">
        <f t="shared" si="244"/>
        <v>0</v>
      </c>
      <c r="Z621" s="232">
        <f t="shared" si="245"/>
        <v>0</v>
      </c>
      <c r="AA621" s="22">
        <f t="shared" si="242"/>
        <v>0</v>
      </c>
      <c r="AB621" s="424">
        <f t="shared" si="246"/>
        <v>0</v>
      </c>
      <c r="AC621" s="424">
        <f t="shared" si="247"/>
        <v>0</v>
      </c>
    </row>
    <row r="622" spans="1:31" s="233" customFormat="1" ht="14.25" customHeight="1" x14ac:dyDescent="0.25">
      <c r="A622" s="224">
        <f>A616+1</f>
        <v>143</v>
      </c>
      <c r="B622" s="225" t="s">
        <v>249</v>
      </c>
      <c r="C622" s="226">
        <v>479</v>
      </c>
      <c r="D622" s="225" t="s">
        <v>234</v>
      </c>
      <c r="E622" s="454">
        <v>26</v>
      </c>
      <c r="F622" s="252">
        <f>F624+F625</f>
        <v>124.19999999999999</v>
      </c>
      <c r="G622" s="248">
        <v>1990</v>
      </c>
      <c r="H622" s="237">
        <f>SUM(Лист1!G164)</f>
        <v>219921.57</v>
      </c>
      <c r="I622" s="237">
        <f>SUM(Лист1!H164)</f>
        <v>91076.27</v>
      </c>
      <c r="J622" s="237">
        <f>SUM(Лист1!I164)</f>
        <v>113.15</v>
      </c>
      <c r="K622" s="261"/>
      <c r="L622" s="261"/>
      <c r="M622" s="261"/>
      <c r="N622" s="252">
        <v>3450.7</v>
      </c>
      <c r="O622" s="252">
        <v>2969.62</v>
      </c>
      <c r="P622" s="259">
        <v>3.6</v>
      </c>
      <c r="Q622" s="261"/>
      <c r="R622" s="237">
        <f t="shared" ref="R622" si="252">SUM(H622+N622)</f>
        <v>223372.27000000002</v>
      </c>
      <c r="S622" s="231">
        <f>SUM(I622+O622-J622)</f>
        <v>93932.74</v>
      </c>
      <c r="T622" s="443">
        <f>S622-3*U622</f>
        <v>93582.49</v>
      </c>
      <c r="U622" s="445">
        <f t="shared" si="230"/>
        <v>116.75</v>
      </c>
      <c r="V622" s="443">
        <f t="shared" si="229"/>
        <v>129789.78000000001</v>
      </c>
      <c r="W622" s="238">
        <f t="shared" si="181"/>
        <v>129439.53000000001</v>
      </c>
      <c r="X622" s="231">
        <f t="shared" si="243"/>
        <v>93815.99</v>
      </c>
      <c r="Y622" s="231">
        <f t="shared" si="244"/>
        <v>116.75</v>
      </c>
      <c r="Z622" s="232">
        <f t="shared" si="245"/>
        <v>129556.28000000001</v>
      </c>
      <c r="AA622" s="22">
        <f t="shared" si="242"/>
        <v>0</v>
      </c>
      <c r="AB622" s="424">
        <f t="shared" si="246"/>
        <v>0</v>
      </c>
      <c r="AC622" s="424">
        <f t="shared" si="247"/>
        <v>0</v>
      </c>
    </row>
    <row r="623" spans="1:31" s="275" customFormat="1" ht="14.25" customHeight="1" x14ac:dyDescent="0.25">
      <c r="A623" s="272"/>
      <c r="B623" s="276"/>
      <c r="C623" s="266"/>
      <c r="D623" s="353" t="s">
        <v>518</v>
      </c>
      <c r="E623" s="457"/>
      <c r="F623" s="268"/>
      <c r="G623" s="278"/>
      <c r="H623" s="151"/>
      <c r="I623" s="151"/>
      <c r="J623" s="151"/>
      <c r="K623" s="269"/>
      <c r="L623" s="269"/>
      <c r="M623" s="269"/>
      <c r="N623" s="268"/>
      <c r="O623" s="268"/>
      <c r="P623" s="315"/>
      <c r="Q623" s="269"/>
      <c r="R623" s="270"/>
      <c r="S623" s="274"/>
      <c r="T623" s="443"/>
      <c r="U623" s="445"/>
      <c r="V623" s="443"/>
      <c r="W623" s="295"/>
      <c r="X623" s="231">
        <f t="shared" si="243"/>
        <v>0</v>
      </c>
      <c r="Y623" s="231">
        <f t="shared" si="244"/>
        <v>0</v>
      </c>
      <c r="Z623" s="232">
        <f t="shared" si="245"/>
        <v>0</v>
      </c>
      <c r="AA623" s="22">
        <f t="shared" si="242"/>
        <v>0</v>
      </c>
      <c r="AB623" s="424">
        <f t="shared" si="246"/>
        <v>0</v>
      </c>
      <c r="AC623" s="424">
        <f t="shared" si="247"/>
        <v>0</v>
      </c>
    </row>
    <row r="624" spans="1:31" s="275" customFormat="1" ht="14.25" customHeight="1" x14ac:dyDescent="0.25">
      <c r="A624" s="272"/>
      <c r="B624" s="276"/>
      <c r="C624" s="266"/>
      <c r="D624" s="354" t="s">
        <v>536</v>
      </c>
      <c r="E624" s="457"/>
      <c r="F624" s="268">
        <v>39.4</v>
      </c>
      <c r="G624" s="278"/>
      <c r="H624" s="151"/>
      <c r="I624" s="151"/>
      <c r="J624" s="151"/>
      <c r="K624" s="269"/>
      <c r="L624" s="269"/>
      <c r="M624" s="269"/>
      <c r="N624" s="268"/>
      <c r="O624" s="268"/>
      <c r="P624" s="315"/>
      <c r="Q624" s="269"/>
      <c r="R624" s="270">
        <f>$R$622/$F$622*F624</f>
        <v>70860.446360708534</v>
      </c>
      <c r="S624" s="274">
        <f>94045.89/124.2*F624</f>
        <v>29834.203429951685</v>
      </c>
      <c r="T624" s="443">
        <f>$T$622/$F$622*F624</f>
        <v>29687.198921095009</v>
      </c>
      <c r="U624" s="445"/>
      <c r="V624" s="443">
        <f t="shared" si="229"/>
        <v>41173.247439613522</v>
      </c>
      <c r="W624" s="295">
        <f>129326.38/124.2*F624</f>
        <v>41026.242930756838</v>
      </c>
      <c r="X624" s="231">
        <f t="shared" si="243"/>
        <v>29834.203429951685</v>
      </c>
      <c r="Y624" s="231">
        <f t="shared" si="244"/>
        <v>0</v>
      </c>
      <c r="Z624" s="232">
        <f t="shared" si="245"/>
        <v>41026.242930756838</v>
      </c>
      <c r="AA624" s="22">
        <f t="shared" si="242"/>
        <v>0</v>
      </c>
      <c r="AB624" s="424">
        <f t="shared" si="246"/>
        <v>0</v>
      </c>
      <c r="AC624" s="424">
        <f t="shared" si="247"/>
        <v>1.4551915228366852E-11</v>
      </c>
    </row>
    <row r="625" spans="1:29" s="275" customFormat="1" ht="14.25" customHeight="1" x14ac:dyDescent="0.25">
      <c r="A625" s="272"/>
      <c r="B625" s="276"/>
      <c r="C625" s="266"/>
      <c r="D625" s="354" t="s">
        <v>602</v>
      </c>
      <c r="E625" s="457"/>
      <c r="F625" s="268">
        <v>84.8</v>
      </c>
      <c r="G625" s="278"/>
      <c r="H625" s="151"/>
      <c r="I625" s="151"/>
      <c r="J625" s="151"/>
      <c r="K625" s="269"/>
      <c r="L625" s="269"/>
      <c r="M625" s="269"/>
      <c r="N625" s="268"/>
      <c r="O625" s="268"/>
      <c r="P625" s="315"/>
      <c r="Q625" s="269"/>
      <c r="R625" s="270">
        <f>$R$622/$F$622*F625</f>
        <v>152511.82363929148</v>
      </c>
      <c r="S625" s="274">
        <f>94045.89/124.2*F625</f>
        <v>64211.686570048303</v>
      </c>
      <c r="T625" s="443">
        <f>$T$622/$F$622*F625</f>
        <v>63895.291078904993</v>
      </c>
      <c r="U625" s="445"/>
      <c r="V625" s="443">
        <f t="shared" si="229"/>
        <v>88616.532560386491</v>
      </c>
      <c r="W625" s="295">
        <f>129326.38/124.2*F625</f>
        <v>88300.137069243152</v>
      </c>
      <c r="X625" s="231">
        <f t="shared" si="243"/>
        <v>64211.686570048303</v>
      </c>
      <c r="Y625" s="231">
        <f t="shared" si="244"/>
        <v>0</v>
      </c>
      <c r="Z625" s="232">
        <f t="shared" si="245"/>
        <v>88300.137069243152</v>
      </c>
      <c r="AA625" s="22">
        <f t="shared" si="242"/>
        <v>0</v>
      </c>
      <c r="AB625" s="424">
        <f t="shared" si="246"/>
        <v>0</v>
      </c>
      <c r="AC625" s="424">
        <f t="shared" si="247"/>
        <v>2.9103830456733704E-11</v>
      </c>
    </row>
    <row r="626" spans="1:29" ht="14.25" customHeight="1" x14ac:dyDescent="0.25">
      <c r="A626" s="152"/>
      <c r="B626" s="143"/>
      <c r="C626" s="154"/>
      <c r="D626" s="143"/>
      <c r="E626" s="170"/>
      <c r="F626" s="158"/>
      <c r="G626" s="142"/>
      <c r="H626" s="157"/>
      <c r="I626" s="157"/>
      <c r="J626" s="157"/>
      <c r="K626" s="171"/>
      <c r="L626" s="171"/>
      <c r="M626" s="171"/>
      <c r="N626" s="158"/>
      <c r="O626" s="158"/>
      <c r="P626" s="159"/>
      <c r="Q626" s="171"/>
      <c r="R626" s="216"/>
      <c r="S626" s="213"/>
      <c r="T626" s="443"/>
      <c r="U626" s="445"/>
      <c r="V626" s="443"/>
      <c r="W626" s="214"/>
      <c r="X626" s="231">
        <f t="shared" si="243"/>
        <v>0</v>
      </c>
      <c r="Y626" s="231">
        <f t="shared" si="244"/>
        <v>0</v>
      </c>
      <c r="Z626" s="232">
        <f t="shared" si="245"/>
        <v>0</v>
      </c>
      <c r="AA626" s="22">
        <f t="shared" si="242"/>
        <v>0</v>
      </c>
      <c r="AB626" s="424">
        <f t="shared" si="246"/>
        <v>0</v>
      </c>
      <c r="AC626" s="424">
        <f t="shared" si="247"/>
        <v>0</v>
      </c>
    </row>
    <row r="627" spans="1:29" s="306" customFormat="1" ht="14.25" customHeight="1" x14ac:dyDescent="0.25">
      <c r="A627" s="313">
        <f>SUM(A622+1)</f>
        <v>144</v>
      </c>
      <c r="B627" s="307" t="s">
        <v>250</v>
      </c>
      <c r="C627" s="348">
        <v>482</v>
      </c>
      <c r="D627" s="307" t="s">
        <v>94</v>
      </c>
      <c r="E627" s="320">
        <v>117</v>
      </c>
      <c r="F627" s="321">
        <v>89.9</v>
      </c>
      <c r="G627" s="309">
        <v>1974</v>
      </c>
      <c r="H627" s="310">
        <f>SUM(Лист1!G165)</f>
        <v>139016.01999999999</v>
      </c>
      <c r="I627" s="310">
        <f>SUM(Лист1!H165)</f>
        <v>45169.37</v>
      </c>
      <c r="J627" s="310">
        <f>SUM(Лист1!I165)</f>
        <v>74.48</v>
      </c>
      <c r="K627" s="311"/>
      <c r="L627" s="311"/>
      <c r="M627" s="311"/>
      <c r="N627" s="319">
        <v>267.19</v>
      </c>
      <c r="O627" s="319">
        <v>224.46</v>
      </c>
      <c r="P627" s="319">
        <v>0.35</v>
      </c>
      <c r="Q627" s="311"/>
      <c r="R627" s="237">
        <f t="shared" ref="R627" si="253">SUM(H627+N627)</f>
        <v>139283.21</v>
      </c>
      <c r="S627" s="231">
        <f>SUM(I627+O627-J627)</f>
        <v>45319.35</v>
      </c>
      <c r="T627" s="443">
        <f>S627-3*U627</f>
        <v>45094.86</v>
      </c>
      <c r="U627" s="445">
        <f t="shared" si="230"/>
        <v>74.83</v>
      </c>
      <c r="V627" s="443">
        <f t="shared" si="229"/>
        <v>94188.349999999991</v>
      </c>
      <c r="W627" s="312">
        <f t="shared" si="181"/>
        <v>93963.859999999986</v>
      </c>
      <c r="X627" s="231">
        <f t="shared" si="243"/>
        <v>45244.52</v>
      </c>
      <c r="Y627" s="231">
        <f t="shared" si="244"/>
        <v>74.83</v>
      </c>
      <c r="Z627" s="232">
        <f t="shared" si="245"/>
        <v>94038.689999999988</v>
      </c>
      <c r="AA627" s="22">
        <f t="shared" si="242"/>
        <v>0</v>
      </c>
      <c r="AB627" s="424">
        <f t="shared" si="246"/>
        <v>1.7479351299698465E-12</v>
      </c>
      <c r="AC627" s="424">
        <f t="shared" si="247"/>
        <v>1.4551915228366852E-11</v>
      </c>
    </row>
    <row r="628" spans="1:29" s="275" customFormat="1" ht="14.25" customHeight="1" x14ac:dyDescent="0.25">
      <c r="A628" s="272"/>
      <c r="B628" s="276"/>
      <c r="C628" s="266"/>
      <c r="D628" s="353" t="s">
        <v>518</v>
      </c>
      <c r="E628" s="267"/>
      <c r="F628" s="277"/>
      <c r="G628" s="265"/>
      <c r="H628" s="151"/>
      <c r="I628" s="151"/>
      <c r="J628" s="151"/>
      <c r="K628" s="269"/>
      <c r="L628" s="269"/>
      <c r="M628" s="269"/>
      <c r="N628" s="315"/>
      <c r="O628" s="315"/>
      <c r="P628" s="315"/>
      <c r="Q628" s="269"/>
      <c r="R628" s="279"/>
      <c r="S628" s="274"/>
      <c r="T628" s="443"/>
      <c r="U628" s="445"/>
      <c r="V628" s="443"/>
      <c r="W628" s="295"/>
      <c r="X628" s="231">
        <f t="shared" si="243"/>
        <v>0</v>
      </c>
      <c r="Y628" s="231">
        <f t="shared" si="244"/>
        <v>0</v>
      </c>
      <c r="Z628" s="232">
        <f t="shared" si="245"/>
        <v>0</v>
      </c>
      <c r="AA628" s="22">
        <f t="shared" si="242"/>
        <v>0</v>
      </c>
      <c r="AB628" s="424">
        <f t="shared" si="246"/>
        <v>0</v>
      </c>
      <c r="AC628" s="424">
        <f t="shared" si="247"/>
        <v>0</v>
      </c>
    </row>
    <row r="629" spans="1:29" s="275" customFormat="1" ht="14.25" customHeight="1" x14ac:dyDescent="0.25">
      <c r="A629" s="272"/>
      <c r="B629" s="276"/>
      <c r="C629" s="266"/>
      <c r="D629" s="353" t="s">
        <v>531</v>
      </c>
      <c r="E629" s="267"/>
      <c r="F629" s="277">
        <v>46.1</v>
      </c>
      <c r="G629" s="265"/>
      <c r="H629" s="151"/>
      <c r="I629" s="151"/>
      <c r="J629" s="151"/>
      <c r="K629" s="269"/>
      <c r="L629" s="269"/>
      <c r="M629" s="269"/>
      <c r="N629" s="315"/>
      <c r="O629" s="315"/>
      <c r="P629" s="315"/>
      <c r="Q629" s="269"/>
      <c r="R629" s="279">
        <f>$R$627/$F$627*F629</f>
        <v>71423.314582869847</v>
      </c>
      <c r="S629" s="274">
        <f>S627/F627*F629</f>
        <v>23239.399721913236</v>
      </c>
      <c r="T629" s="443">
        <f>$T$627/$F$627*F629</f>
        <v>23124.283047830922</v>
      </c>
      <c r="U629" s="445"/>
      <c r="V629" s="443">
        <f t="shared" si="229"/>
        <v>48299.031535038928</v>
      </c>
      <c r="W629" s="295">
        <f>W627/F627*F629</f>
        <v>48183.914860956611</v>
      </c>
      <c r="X629" s="231">
        <f t="shared" si="243"/>
        <v>23239.399721913236</v>
      </c>
      <c r="Y629" s="231">
        <f t="shared" si="244"/>
        <v>0</v>
      </c>
      <c r="Z629" s="232">
        <f t="shared" si="245"/>
        <v>48183.914860956611</v>
      </c>
      <c r="AA629" s="22">
        <f t="shared" si="242"/>
        <v>0</v>
      </c>
      <c r="AB629" s="424">
        <f t="shared" si="246"/>
        <v>0</v>
      </c>
      <c r="AC629" s="424">
        <f t="shared" si="247"/>
        <v>0</v>
      </c>
    </row>
    <row r="630" spans="1:29" s="275" customFormat="1" ht="14.25" customHeight="1" x14ac:dyDescent="0.25">
      <c r="A630" s="272"/>
      <c r="B630" s="276"/>
      <c r="C630" s="266"/>
      <c r="D630" s="353" t="s">
        <v>564</v>
      </c>
      <c r="E630" s="267"/>
      <c r="F630" s="277">
        <v>43.8</v>
      </c>
      <c r="G630" s="265"/>
      <c r="H630" s="151"/>
      <c r="I630" s="151"/>
      <c r="J630" s="151"/>
      <c r="K630" s="269"/>
      <c r="L630" s="269"/>
      <c r="M630" s="269"/>
      <c r="N630" s="315"/>
      <c r="O630" s="315"/>
      <c r="P630" s="315"/>
      <c r="Q630" s="269"/>
      <c r="R630" s="279">
        <f>$R$627/$F$627*F630</f>
        <v>67859.89541713013</v>
      </c>
      <c r="S630" s="274">
        <f>S627/F627*F630</f>
        <v>22079.950278086759</v>
      </c>
      <c r="T630" s="443">
        <f>$T$627/$F$627*F630</f>
        <v>21970.576952169075</v>
      </c>
      <c r="U630" s="445"/>
      <c r="V630" s="443">
        <f t="shared" si="229"/>
        <v>45889.318464961056</v>
      </c>
      <c r="W630" s="295">
        <f>W627/F627*F630</f>
        <v>45779.945139043368</v>
      </c>
      <c r="X630" s="231">
        <f t="shared" si="243"/>
        <v>22079.950278086759</v>
      </c>
      <c r="Y630" s="231">
        <f t="shared" si="244"/>
        <v>0</v>
      </c>
      <c r="Z630" s="232">
        <f t="shared" si="245"/>
        <v>45779.945139043368</v>
      </c>
      <c r="AA630" s="22">
        <f t="shared" si="242"/>
        <v>0</v>
      </c>
      <c r="AB630" s="424">
        <f t="shared" si="246"/>
        <v>0</v>
      </c>
      <c r="AC630" s="424">
        <f t="shared" si="247"/>
        <v>0</v>
      </c>
    </row>
    <row r="631" spans="1:29" s="275" customFormat="1" ht="14.25" customHeight="1" x14ac:dyDescent="0.25">
      <c r="A631" s="340"/>
      <c r="B631" s="293"/>
      <c r="C631" s="341"/>
      <c r="D631" s="293"/>
      <c r="E631" s="294"/>
      <c r="F631" s="355"/>
      <c r="G631" s="349"/>
      <c r="H631" s="344"/>
      <c r="I631" s="344"/>
      <c r="J631" s="344"/>
      <c r="K631" s="345"/>
      <c r="L631" s="345"/>
      <c r="M631" s="345"/>
      <c r="N631" s="350"/>
      <c r="O631" s="350"/>
      <c r="P631" s="350"/>
      <c r="Q631" s="345"/>
      <c r="R631" s="428"/>
      <c r="S631" s="322"/>
      <c r="T631" s="443"/>
      <c r="U631" s="445"/>
      <c r="V631" s="443"/>
      <c r="W631" s="347"/>
      <c r="X631" s="231">
        <f t="shared" si="243"/>
        <v>0</v>
      </c>
      <c r="Y631" s="231">
        <f t="shared" si="244"/>
        <v>0</v>
      </c>
      <c r="Z631" s="232">
        <f t="shared" si="245"/>
        <v>0</v>
      </c>
      <c r="AA631" s="22">
        <f t="shared" si="242"/>
        <v>0</v>
      </c>
      <c r="AB631" s="424">
        <f t="shared" si="246"/>
        <v>0</v>
      </c>
      <c r="AC631" s="424">
        <f t="shared" si="247"/>
        <v>0</v>
      </c>
    </row>
    <row r="632" spans="1:29" s="306" customFormat="1" ht="14.25" customHeight="1" x14ac:dyDescent="0.25">
      <c r="A632" s="313">
        <f>SUM(A627+1)</f>
        <v>145</v>
      </c>
      <c r="B632" s="307" t="s">
        <v>251</v>
      </c>
      <c r="C632" s="348">
        <v>485</v>
      </c>
      <c r="D632" s="307" t="s">
        <v>252</v>
      </c>
      <c r="E632" s="469">
        <v>141</v>
      </c>
      <c r="F632" s="308">
        <v>84.09</v>
      </c>
      <c r="G632" s="339">
        <v>1925</v>
      </c>
      <c r="H632" s="310">
        <f>SUM(Лист1!G166)</f>
        <v>189124.43</v>
      </c>
      <c r="I632" s="310">
        <f>SUM(Лист1!H166)</f>
        <v>15071.76</v>
      </c>
      <c r="J632" s="310">
        <f>SUM(Лист1!I166)</f>
        <v>98.65</v>
      </c>
      <c r="K632" s="311"/>
      <c r="L632" s="311"/>
      <c r="M632" s="311"/>
      <c r="N632" s="311"/>
      <c r="O632" s="311"/>
      <c r="P632" s="311"/>
      <c r="Q632" s="311"/>
      <c r="R632" s="429">
        <f t="shared" si="205"/>
        <v>189124.43</v>
      </c>
      <c r="S632" s="231">
        <f>SUM(I632+O632-J632)</f>
        <v>14973.11</v>
      </c>
      <c r="T632" s="443">
        <f>S632-3*U632</f>
        <v>14677.16</v>
      </c>
      <c r="U632" s="445">
        <f t="shared" si="230"/>
        <v>98.65</v>
      </c>
      <c r="V632" s="443">
        <f t="shared" si="229"/>
        <v>174447.27</v>
      </c>
      <c r="W632" s="312">
        <f t="shared" si="181"/>
        <v>174151.32</v>
      </c>
      <c r="X632" s="231">
        <f t="shared" si="243"/>
        <v>14874.460000000001</v>
      </c>
      <c r="Y632" s="231">
        <f t="shared" si="244"/>
        <v>98.65</v>
      </c>
      <c r="Z632" s="232">
        <f t="shared" si="245"/>
        <v>174249.97</v>
      </c>
      <c r="AA632" s="22">
        <f t="shared" si="242"/>
        <v>0</v>
      </c>
      <c r="AB632" s="424">
        <f t="shared" si="246"/>
        <v>-3.694822225952521E-13</v>
      </c>
      <c r="AC632" s="424">
        <f t="shared" si="247"/>
        <v>0</v>
      </c>
    </row>
    <row r="633" spans="1:29" s="275" customFormat="1" ht="14.25" customHeight="1" x14ac:dyDescent="0.25">
      <c r="A633" s="272"/>
      <c r="B633" s="276"/>
      <c r="C633" s="266"/>
      <c r="D633" s="353" t="s">
        <v>518</v>
      </c>
      <c r="E633" s="457"/>
      <c r="F633" s="268"/>
      <c r="G633" s="278"/>
      <c r="H633" s="151"/>
      <c r="I633" s="151"/>
      <c r="J633" s="151"/>
      <c r="K633" s="269"/>
      <c r="L633" s="269"/>
      <c r="M633" s="269"/>
      <c r="N633" s="269"/>
      <c r="O633" s="269"/>
      <c r="P633" s="269"/>
      <c r="Q633" s="269"/>
      <c r="R633" s="279"/>
      <c r="S633" s="274"/>
      <c r="T633" s="443"/>
      <c r="U633" s="445"/>
      <c r="V633" s="443"/>
      <c r="W633" s="295"/>
      <c r="X633" s="231">
        <f t="shared" si="243"/>
        <v>0</v>
      </c>
      <c r="Y633" s="231">
        <f t="shared" si="244"/>
        <v>0</v>
      </c>
      <c r="Z633" s="232">
        <f t="shared" si="245"/>
        <v>0</v>
      </c>
      <c r="AA633" s="22">
        <f t="shared" si="242"/>
        <v>0</v>
      </c>
      <c r="AB633" s="424">
        <f t="shared" si="246"/>
        <v>0</v>
      </c>
      <c r="AC633" s="424">
        <f t="shared" si="247"/>
        <v>0</v>
      </c>
    </row>
    <row r="634" spans="1:29" s="275" customFormat="1" ht="14.25" customHeight="1" x14ac:dyDescent="0.25">
      <c r="A634" s="272"/>
      <c r="B634" s="276"/>
      <c r="C634" s="266"/>
      <c r="D634" s="354" t="s">
        <v>592</v>
      </c>
      <c r="E634" s="457"/>
      <c r="F634" s="268">
        <v>37.1</v>
      </c>
      <c r="G634" s="278"/>
      <c r="H634" s="151"/>
      <c r="I634" s="151"/>
      <c r="J634" s="151"/>
      <c r="K634" s="269"/>
      <c r="L634" s="269"/>
      <c r="M634" s="269"/>
      <c r="N634" s="269"/>
      <c r="O634" s="269"/>
      <c r="P634" s="269"/>
      <c r="Q634" s="269"/>
      <c r="R634" s="279">
        <f>$R$632/$F$632*F634</f>
        <v>83440.555987632295</v>
      </c>
      <c r="S634" s="274">
        <f>S632/F632*F634</f>
        <v>6606.0456772505659</v>
      </c>
      <c r="T634" s="443">
        <f>$T$632/$F$632*F634</f>
        <v>6475.4743251278387</v>
      </c>
      <c r="U634" s="445"/>
      <c r="V634" s="443">
        <f t="shared" si="229"/>
        <v>76965.081662504454</v>
      </c>
      <c r="W634" s="295">
        <f>W632/F632*F634</f>
        <v>76834.510310381738</v>
      </c>
      <c r="X634" s="231">
        <f t="shared" si="243"/>
        <v>6606.0456772505659</v>
      </c>
      <c r="Y634" s="231">
        <f t="shared" si="244"/>
        <v>0</v>
      </c>
      <c r="Z634" s="232">
        <f t="shared" si="245"/>
        <v>76834.510310381738</v>
      </c>
      <c r="AA634" s="22">
        <f t="shared" si="242"/>
        <v>0</v>
      </c>
      <c r="AB634" s="424">
        <f t="shared" si="246"/>
        <v>0</v>
      </c>
      <c r="AC634" s="424">
        <f t="shared" si="247"/>
        <v>-1.4551915228366852E-11</v>
      </c>
    </row>
    <row r="635" spans="1:29" s="275" customFormat="1" ht="14.25" customHeight="1" x14ac:dyDescent="0.25">
      <c r="A635" s="272"/>
      <c r="B635" s="276"/>
      <c r="C635" s="266"/>
      <c r="D635" s="354" t="s">
        <v>523</v>
      </c>
      <c r="E635" s="457"/>
      <c r="F635" s="268">
        <v>33.909999999999997</v>
      </c>
      <c r="G635" s="278"/>
      <c r="H635" s="151"/>
      <c r="I635" s="151"/>
      <c r="J635" s="151"/>
      <c r="K635" s="269"/>
      <c r="L635" s="269"/>
      <c r="M635" s="269"/>
      <c r="N635" s="269"/>
      <c r="O635" s="269"/>
      <c r="P635" s="269"/>
      <c r="Q635" s="269"/>
      <c r="R635" s="279">
        <f>$R$632/$F$632*F635</f>
        <v>76266.017615649878</v>
      </c>
      <c r="S635" s="274">
        <f>S632/F632*F635</f>
        <v>6038.0325853252461</v>
      </c>
      <c r="T635" s="443">
        <f>$T$632/$F$632*F635</f>
        <v>5918.6882578190025</v>
      </c>
      <c r="U635" s="445"/>
      <c r="V635" s="443">
        <f t="shared" si="229"/>
        <v>70347.32935783088</v>
      </c>
      <c r="W635" s="295">
        <f>W632/F632*F635</f>
        <v>70227.985030324649</v>
      </c>
      <c r="X635" s="231">
        <f t="shared" si="243"/>
        <v>6038.0325853252461</v>
      </c>
      <c r="Y635" s="231">
        <f t="shared" si="244"/>
        <v>0</v>
      </c>
      <c r="Z635" s="232">
        <f t="shared" si="245"/>
        <v>70227.985030324649</v>
      </c>
      <c r="AA635" s="22">
        <f t="shared" si="242"/>
        <v>0</v>
      </c>
      <c r="AB635" s="424">
        <f t="shared" si="246"/>
        <v>0</v>
      </c>
      <c r="AC635" s="424">
        <f t="shared" si="247"/>
        <v>-1.4551915228366852E-11</v>
      </c>
    </row>
    <row r="636" spans="1:29" s="275" customFormat="1" ht="14.25" customHeight="1" x14ac:dyDescent="0.25">
      <c r="A636" s="340"/>
      <c r="B636" s="293"/>
      <c r="C636" s="341"/>
      <c r="D636" s="293"/>
      <c r="E636" s="470"/>
      <c r="F636" s="342"/>
      <c r="G636" s="343"/>
      <c r="H636" s="344"/>
      <c r="I636" s="344"/>
      <c r="J636" s="344"/>
      <c r="K636" s="345"/>
      <c r="L636" s="345"/>
      <c r="M636" s="345"/>
      <c r="N636" s="345"/>
      <c r="O636" s="345"/>
      <c r="P636" s="345"/>
      <c r="Q636" s="345"/>
      <c r="R636" s="428"/>
      <c r="S636" s="322"/>
      <c r="T636" s="443"/>
      <c r="U636" s="445"/>
      <c r="V636" s="443"/>
      <c r="W636" s="347"/>
      <c r="X636" s="231">
        <f t="shared" si="243"/>
        <v>0</v>
      </c>
      <c r="Y636" s="231">
        <f t="shared" si="244"/>
        <v>0</v>
      </c>
      <c r="Z636" s="232">
        <f t="shared" si="245"/>
        <v>0</v>
      </c>
      <c r="AA636" s="22">
        <f t="shared" si="242"/>
        <v>0</v>
      </c>
      <c r="AB636" s="424">
        <f t="shared" si="246"/>
        <v>0</v>
      </c>
      <c r="AC636" s="424">
        <f t="shared" si="247"/>
        <v>0</v>
      </c>
    </row>
    <row r="637" spans="1:29" s="306" customFormat="1" ht="14.25" customHeight="1" x14ac:dyDescent="0.25">
      <c r="A637" s="313">
        <f>A632+1</f>
        <v>146</v>
      </c>
      <c r="B637" s="307" t="s">
        <v>254</v>
      </c>
      <c r="C637" s="348">
        <v>490</v>
      </c>
      <c r="D637" s="307" t="s">
        <v>37</v>
      </c>
      <c r="E637" s="320">
        <v>54</v>
      </c>
      <c r="F637" s="321">
        <v>83.07</v>
      </c>
      <c r="G637" s="309">
        <v>1895</v>
      </c>
      <c r="H637" s="310">
        <f>SUM(Лист1!G168)</f>
        <v>218689.52</v>
      </c>
      <c r="I637" s="310">
        <f>SUM(Лист1!H168)</f>
        <v>46990.9</v>
      </c>
      <c r="J637" s="310">
        <f>SUM(Лист1!I168)</f>
        <v>305.77999999999997</v>
      </c>
      <c r="K637" s="311"/>
      <c r="L637" s="311"/>
      <c r="M637" s="311"/>
      <c r="N637" s="311"/>
      <c r="O637" s="311"/>
      <c r="P637" s="311"/>
      <c r="Q637" s="311"/>
      <c r="R637" s="314">
        <f t="shared" si="205"/>
        <v>218689.52</v>
      </c>
      <c r="S637" s="231">
        <f>SUM(I637+O637-J637)</f>
        <v>46685.120000000003</v>
      </c>
      <c r="T637" s="443">
        <f>S637-3*U637</f>
        <v>45767.780000000006</v>
      </c>
      <c r="U637" s="445">
        <f t="shared" si="230"/>
        <v>305.77999999999997</v>
      </c>
      <c r="V637" s="443">
        <f t="shared" si="229"/>
        <v>172921.74</v>
      </c>
      <c r="W637" s="312">
        <f t="shared" si="181"/>
        <v>172004.4</v>
      </c>
      <c r="X637" s="231">
        <f t="shared" si="243"/>
        <v>46379.340000000004</v>
      </c>
      <c r="Y637" s="231">
        <f t="shared" si="244"/>
        <v>305.77999999999997</v>
      </c>
      <c r="Z637" s="232">
        <f t="shared" si="245"/>
        <v>172310.18</v>
      </c>
      <c r="AA637" s="22">
        <f t="shared" si="242"/>
        <v>0</v>
      </c>
      <c r="AB637" s="424">
        <f t="shared" si="246"/>
        <v>-1.1368683772161603E-12</v>
      </c>
      <c r="AC637" s="424">
        <f t="shared" si="247"/>
        <v>0</v>
      </c>
    </row>
    <row r="638" spans="1:29" s="275" customFormat="1" ht="14.25" customHeight="1" x14ac:dyDescent="0.25">
      <c r="A638" s="272"/>
      <c r="B638" s="276"/>
      <c r="C638" s="266"/>
      <c r="D638" s="353" t="s">
        <v>508</v>
      </c>
      <c r="E638" s="267"/>
      <c r="F638" s="277"/>
      <c r="G638" s="265"/>
      <c r="H638" s="151"/>
      <c r="I638" s="151"/>
      <c r="J638" s="151"/>
      <c r="K638" s="269"/>
      <c r="L638" s="269"/>
      <c r="M638" s="269"/>
      <c r="N638" s="269"/>
      <c r="O638" s="269"/>
      <c r="P638" s="269"/>
      <c r="Q638" s="269"/>
      <c r="R638" s="274"/>
      <c r="S638" s="274"/>
      <c r="T638" s="443"/>
      <c r="U638" s="445"/>
      <c r="V638" s="443"/>
      <c r="W638" s="295"/>
      <c r="X638" s="231">
        <f t="shared" si="243"/>
        <v>0</v>
      </c>
      <c r="Y638" s="231">
        <f t="shared" si="244"/>
        <v>0</v>
      </c>
      <c r="Z638" s="232">
        <f t="shared" si="245"/>
        <v>0</v>
      </c>
      <c r="AA638" s="22">
        <f t="shared" si="242"/>
        <v>0</v>
      </c>
      <c r="AB638" s="424">
        <f t="shared" si="246"/>
        <v>0</v>
      </c>
      <c r="AC638" s="424">
        <f t="shared" si="247"/>
        <v>0</v>
      </c>
    </row>
    <row r="639" spans="1:29" s="275" customFormat="1" ht="14.25" customHeight="1" x14ac:dyDescent="0.25">
      <c r="A639" s="272"/>
      <c r="B639" s="276"/>
      <c r="C639" s="266"/>
      <c r="D639" s="354" t="s">
        <v>531</v>
      </c>
      <c r="E639" s="267"/>
      <c r="F639" s="277">
        <v>45.59</v>
      </c>
      <c r="G639" s="265"/>
      <c r="H639" s="151"/>
      <c r="I639" s="151"/>
      <c r="J639" s="151"/>
      <c r="K639" s="269"/>
      <c r="L639" s="269"/>
      <c r="M639" s="269"/>
      <c r="N639" s="269"/>
      <c r="O639" s="269"/>
      <c r="P639" s="269"/>
      <c r="Q639" s="269"/>
      <c r="R639" s="274">
        <f>$R$637/$F$637*F639</f>
        <v>120019.92556638979</v>
      </c>
      <c r="S639" s="274">
        <f>S637/F637*F639</f>
        <v>25621.459260864336</v>
      </c>
      <c r="T639" s="443">
        <f>$T$637/$F$637*F639</f>
        <v>25118.009993980988</v>
      </c>
      <c r="U639" s="445"/>
      <c r="V639" s="443">
        <f t="shared" si="229"/>
        <v>94901.915572408805</v>
      </c>
      <c r="W639" s="295">
        <f>W637/F637*F639</f>
        <v>94398.466305525464</v>
      </c>
      <c r="X639" s="231">
        <f t="shared" si="243"/>
        <v>25621.459260864336</v>
      </c>
      <c r="Y639" s="231">
        <f t="shared" si="244"/>
        <v>0</v>
      </c>
      <c r="Z639" s="232">
        <f t="shared" si="245"/>
        <v>94398.466305525464</v>
      </c>
      <c r="AA639" s="22">
        <f t="shared" si="242"/>
        <v>0</v>
      </c>
      <c r="AB639" s="424">
        <f t="shared" si="246"/>
        <v>0</v>
      </c>
      <c r="AC639" s="424">
        <f t="shared" si="247"/>
        <v>-1.4551915228366852E-11</v>
      </c>
    </row>
    <row r="640" spans="1:29" s="275" customFormat="1" ht="14.25" customHeight="1" x14ac:dyDescent="0.25">
      <c r="A640" s="340"/>
      <c r="B640" s="293"/>
      <c r="C640" s="341"/>
      <c r="D640" s="374" t="s">
        <v>523</v>
      </c>
      <c r="E640" s="294"/>
      <c r="F640" s="355">
        <v>37.479999999999997</v>
      </c>
      <c r="G640" s="349"/>
      <c r="H640" s="344"/>
      <c r="I640" s="344"/>
      <c r="J640" s="344"/>
      <c r="K640" s="345"/>
      <c r="L640" s="345"/>
      <c r="M640" s="345"/>
      <c r="N640" s="345"/>
      <c r="O640" s="345"/>
      <c r="P640" s="345"/>
      <c r="Q640" s="345"/>
      <c r="R640" s="274">
        <f>$R$637/$F$637*F640</f>
        <v>98669.594433610197</v>
      </c>
      <c r="S640" s="322">
        <f>S637/F637*F640</f>
        <v>21063.66073913567</v>
      </c>
      <c r="T640" s="443">
        <f>$T$637/$F$637*F640</f>
        <v>20649.770006019025</v>
      </c>
      <c r="U640" s="445"/>
      <c r="V640" s="443">
        <f t="shared" si="229"/>
        <v>78019.824427591171</v>
      </c>
      <c r="W640" s="347">
        <f>W637/F637*F640</f>
        <v>77605.93369447453</v>
      </c>
      <c r="X640" s="231">
        <f t="shared" si="243"/>
        <v>21063.66073913567</v>
      </c>
      <c r="Y640" s="231">
        <f t="shared" si="244"/>
        <v>0</v>
      </c>
      <c r="Z640" s="232">
        <f t="shared" si="245"/>
        <v>77605.93369447453</v>
      </c>
      <c r="AA640" s="22">
        <f t="shared" si="242"/>
        <v>0</v>
      </c>
      <c r="AB640" s="424">
        <f t="shared" si="246"/>
        <v>0</v>
      </c>
      <c r="AC640" s="424">
        <f t="shared" si="247"/>
        <v>0</v>
      </c>
    </row>
    <row r="641" spans="1:29" s="306" customFormat="1" ht="14.25" customHeight="1" x14ac:dyDescent="0.25">
      <c r="A641" s="313">
        <f>SUM(A637+1)</f>
        <v>147</v>
      </c>
      <c r="B641" s="307" t="s">
        <v>255</v>
      </c>
      <c r="C641" s="348">
        <v>495</v>
      </c>
      <c r="D641" s="307" t="s">
        <v>256</v>
      </c>
      <c r="E641" s="469">
        <v>20</v>
      </c>
      <c r="F641" s="308">
        <v>28.9</v>
      </c>
      <c r="G641" s="339">
        <v>1957</v>
      </c>
      <c r="H641" s="310">
        <f>SUM(Лист1!G169)</f>
        <v>35416.69</v>
      </c>
      <c r="I641" s="310">
        <f>SUM(Лист1!H169)</f>
        <v>7431.39</v>
      </c>
      <c r="J641" s="310">
        <f>SUM(Лист1!I169)</f>
        <v>15.93</v>
      </c>
      <c r="K641" s="311"/>
      <c r="L641" s="311"/>
      <c r="M641" s="311"/>
      <c r="N641" s="311"/>
      <c r="O641" s="311"/>
      <c r="P641" s="311"/>
      <c r="Q641" s="311"/>
      <c r="R641" s="310">
        <f t="shared" si="205"/>
        <v>35416.69</v>
      </c>
      <c r="S641" s="231">
        <f>SUM(I641+O641-J641)</f>
        <v>7415.46</v>
      </c>
      <c r="T641" s="443">
        <f>S641-3*U641</f>
        <v>7367.67</v>
      </c>
      <c r="U641" s="445">
        <f t="shared" si="230"/>
        <v>15.93</v>
      </c>
      <c r="V641" s="443">
        <f t="shared" si="229"/>
        <v>28049.020000000004</v>
      </c>
      <c r="W641" s="312">
        <f t="shared" si="181"/>
        <v>28001.230000000003</v>
      </c>
      <c r="X641" s="231">
        <f t="shared" si="243"/>
        <v>7399.53</v>
      </c>
      <c r="Y641" s="231">
        <f t="shared" si="244"/>
        <v>15.93</v>
      </c>
      <c r="Z641" s="232">
        <f t="shared" si="245"/>
        <v>28017.160000000003</v>
      </c>
      <c r="AA641" s="22">
        <f t="shared" si="242"/>
        <v>0</v>
      </c>
      <c r="AB641" s="424">
        <f t="shared" si="246"/>
        <v>2.9132252166164108E-13</v>
      </c>
      <c r="AC641" s="424">
        <f t="shared" si="247"/>
        <v>0</v>
      </c>
    </row>
    <row r="642" spans="1:29" s="275" customFormat="1" ht="14.25" customHeight="1" x14ac:dyDescent="0.25">
      <c r="A642" s="272"/>
      <c r="B642" s="276"/>
      <c r="C642" s="266"/>
      <c r="D642" s="353" t="s">
        <v>501</v>
      </c>
      <c r="E642" s="457"/>
      <c r="F642" s="268">
        <v>28.9</v>
      </c>
      <c r="G642" s="278"/>
      <c r="H642" s="151"/>
      <c r="I642" s="151"/>
      <c r="J642" s="151"/>
      <c r="K642" s="269"/>
      <c r="L642" s="269"/>
      <c r="M642" s="269"/>
      <c r="N642" s="269"/>
      <c r="O642" s="269"/>
      <c r="P642" s="269"/>
      <c r="Q642" s="269"/>
      <c r="R642" s="270"/>
      <c r="S642" s="274"/>
      <c r="T642" s="443"/>
      <c r="U642" s="445"/>
      <c r="V642" s="443"/>
      <c r="W642" s="295"/>
      <c r="X642" s="231">
        <f t="shared" si="243"/>
        <v>0</v>
      </c>
      <c r="Y642" s="231">
        <f t="shared" si="244"/>
        <v>0</v>
      </c>
      <c r="Z642" s="232">
        <f t="shared" si="245"/>
        <v>0</v>
      </c>
      <c r="AA642" s="22">
        <f t="shared" si="242"/>
        <v>0</v>
      </c>
      <c r="AB642" s="424">
        <f t="shared" si="246"/>
        <v>0</v>
      </c>
      <c r="AC642" s="424">
        <f t="shared" si="247"/>
        <v>0</v>
      </c>
    </row>
    <row r="643" spans="1:29" s="275" customFormat="1" ht="14.25" customHeight="1" x14ac:dyDescent="0.25">
      <c r="A643" s="340"/>
      <c r="B643" s="293"/>
      <c r="C643" s="341"/>
      <c r="D643" s="293"/>
      <c r="E643" s="470"/>
      <c r="F643" s="342"/>
      <c r="G643" s="343"/>
      <c r="H643" s="344"/>
      <c r="I643" s="344"/>
      <c r="J643" s="344"/>
      <c r="K643" s="345"/>
      <c r="L643" s="345"/>
      <c r="M643" s="345"/>
      <c r="N643" s="345"/>
      <c r="O643" s="345"/>
      <c r="P643" s="345"/>
      <c r="Q643" s="345"/>
      <c r="R643" s="346"/>
      <c r="S643" s="322"/>
      <c r="T643" s="443"/>
      <c r="U643" s="445"/>
      <c r="V643" s="443"/>
      <c r="W643" s="347"/>
      <c r="X643" s="231">
        <f t="shared" si="243"/>
        <v>0</v>
      </c>
      <c r="Y643" s="231">
        <f t="shared" si="244"/>
        <v>0</v>
      </c>
      <c r="Z643" s="232">
        <f t="shared" si="245"/>
        <v>0</v>
      </c>
      <c r="AA643" s="22">
        <f t="shared" si="242"/>
        <v>0</v>
      </c>
      <c r="AB643" s="424">
        <f t="shared" si="246"/>
        <v>0</v>
      </c>
      <c r="AC643" s="424">
        <f t="shared" si="247"/>
        <v>0</v>
      </c>
    </row>
    <row r="644" spans="1:29" s="306" customFormat="1" ht="14.25" customHeight="1" x14ac:dyDescent="0.25">
      <c r="A644" s="313">
        <f>SUM(A641+1)</f>
        <v>148</v>
      </c>
      <c r="B644" s="307" t="s">
        <v>257</v>
      </c>
      <c r="C644" s="348">
        <v>502</v>
      </c>
      <c r="D644" s="307" t="s">
        <v>258</v>
      </c>
      <c r="E644" s="469">
        <v>71</v>
      </c>
      <c r="F644" s="308">
        <v>28.9</v>
      </c>
      <c r="G644" s="339">
        <v>1957</v>
      </c>
      <c r="H644" s="310">
        <f>SUM(Лист1!G170)</f>
        <v>201422.61</v>
      </c>
      <c r="I644" s="310">
        <f>SUM(Лист1!H170)</f>
        <v>42263.83</v>
      </c>
      <c r="J644" s="310">
        <f>SUM(Лист1!I170)</f>
        <v>90.62</v>
      </c>
      <c r="K644" s="311"/>
      <c r="L644" s="311"/>
      <c r="M644" s="311"/>
      <c r="N644" s="311"/>
      <c r="O644" s="311"/>
      <c r="P644" s="311"/>
      <c r="Q644" s="311"/>
      <c r="R644" s="310">
        <f t="shared" si="205"/>
        <v>201422.61</v>
      </c>
      <c r="S644" s="231">
        <f>SUM(I644+O644-J644)</f>
        <v>42173.21</v>
      </c>
      <c r="T644" s="443">
        <f>S644-3*U644</f>
        <v>41901.35</v>
      </c>
      <c r="U644" s="445">
        <f t="shared" si="230"/>
        <v>90.62</v>
      </c>
      <c r="V644" s="443">
        <f t="shared" si="229"/>
        <v>159521.25999999998</v>
      </c>
      <c r="W644" s="312">
        <f t="shared" si="181"/>
        <v>159249.4</v>
      </c>
      <c r="X644" s="231">
        <f t="shared" si="243"/>
        <v>42082.59</v>
      </c>
      <c r="Y644" s="231">
        <f t="shared" si="244"/>
        <v>90.62</v>
      </c>
      <c r="Z644" s="232">
        <f t="shared" si="245"/>
        <v>159340.01999999999</v>
      </c>
      <c r="AA644" s="22">
        <f t="shared" si="242"/>
        <v>0</v>
      </c>
      <c r="AB644" s="424">
        <f t="shared" si="246"/>
        <v>2.6147972675971687E-12</v>
      </c>
      <c r="AC644" s="424">
        <f t="shared" si="247"/>
        <v>0</v>
      </c>
    </row>
    <row r="645" spans="1:29" s="275" customFormat="1" ht="14.25" customHeight="1" x14ac:dyDescent="0.25">
      <c r="A645" s="272"/>
      <c r="B645" s="276"/>
      <c r="C645" s="266"/>
      <c r="D645" s="353" t="s">
        <v>501</v>
      </c>
      <c r="E645" s="457"/>
      <c r="F645" s="268">
        <v>28.9</v>
      </c>
      <c r="G645" s="278"/>
      <c r="H645" s="151"/>
      <c r="I645" s="151"/>
      <c r="J645" s="151"/>
      <c r="K645" s="269"/>
      <c r="L645" s="269"/>
      <c r="M645" s="269"/>
      <c r="N645" s="269"/>
      <c r="O645" s="269"/>
      <c r="P645" s="269"/>
      <c r="Q645" s="269"/>
      <c r="R645" s="270"/>
      <c r="S645" s="274"/>
      <c r="T645" s="443"/>
      <c r="U645" s="445"/>
      <c r="V645" s="443"/>
      <c r="W645" s="295"/>
      <c r="X645" s="231">
        <f t="shared" si="243"/>
        <v>0</v>
      </c>
      <c r="Y645" s="231">
        <f t="shared" si="244"/>
        <v>0</v>
      </c>
      <c r="Z645" s="232">
        <f t="shared" si="245"/>
        <v>0</v>
      </c>
      <c r="AA645" s="22">
        <f t="shared" si="242"/>
        <v>0</v>
      </c>
      <c r="AB645" s="424">
        <f t="shared" si="246"/>
        <v>0</v>
      </c>
      <c r="AC645" s="424">
        <f t="shared" si="247"/>
        <v>0</v>
      </c>
    </row>
    <row r="646" spans="1:29" s="275" customFormat="1" ht="14.25" customHeight="1" x14ac:dyDescent="0.25">
      <c r="A646" s="340"/>
      <c r="B646" s="293"/>
      <c r="C646" s="341"/>
      <c r="D646" s="293"/>
      <c r="E646" s="470"/>
      <c r="F646" s="342"/>
      <c r="G646" s="343"/>
      <c r="H646" s="344"/>
      <c r="I646" s="344"/>
      <c r="J646" s="344"/>
      <c r="K646" s="345"/>
      <c r="L646" s="345"/>
      <c r="M646" s="345"/>
      <c r="N646" s="345"/>
      <c r="O646" s="345"/>
      <c r="P646" s="345"/>
      <c r="Q646" s="345"/>
      <c r="R646" s="346"/>
      <c r="S646" s="322"/>
      <c r="T646" s="443"/>
      <c r="U646" s="445"/>
      <c r="V646" s="443"/>
      <c r="W646" s="347"/>
      <c r="X646" s="231">
        <f t="shared" si="243"/>
        <v>0</v>
      </c>
      <c r="Y646" s="231">
        <f t="shared" si="244"/>
        <v>0</v>
      </c>
      <c r="Z646" s="232">
        <f t="shared" si="245"/>
        <v>0</v>
      </c>
      <c r="AA646" s="22">
        <f t="shared" si="242"/>
        <v>0</v>
      </c>
      <c r="AB646" s="424">
        <f t="shared" si="246"/>
        <v>0</v>
      </c>
      <c r="AC646" s="424">
        <f t="shared" si="247"/>
        <v>0</v>
      </c>
    </row>
    <row r="647" spans="1:29" s="306" customFormat="1" ht="14.25" customHeight="1" x14ac:dyDescent="0.25">
      <c r="A647" s="313">
        <f>A644+1</f>
        <v>149</v>
      </c>
      <c r="B647" s="307" t="s">
        <v>260</v>
      </c>
      <c r="C647" s="348">
        <v>514</v>
      </c>
      <c r="D647" s="307" t="s">
        <v>261</v>
      </c>
      <c r="E647" s="469">
        <v>35</v>
      </c>
      <c r="F647" s="308">
        <f>F649</f>
        <v>39.5</v>
      </c>
      <c r="G647" s="339">
        <v>1912</v>
      </c>
      <c r="H647" s="310">
        <f>SUM(Лист1!G172)</f>
        <v>78511.69</v>
      </c>
      <c r="I647" s="310">
        <f>SUM(Лист1!H172)</f>
        <v>11570.19</v>
      </c>
      <c r="J647" s="310">
        <f>SUM(Лист1!I172)</f>
        <v>76.209999999999994</v>
      </c>
      <c r="K647" s="311"/>
      <c r="L647" s="311"/>
      <c r="M647" s="311"/>
      <c r="N647" s="311"/>
      <c r="O647" s="311"/>
      <c r="P647" s="311"/>
      <c r="Q647" s="311"/>
      <c r="R647" s="314">
        <f t="shared" si="205"/>
        <v>78511.69</v>
      </c>
      <c r="S647" s="231">
        <f>SUM(I647+O647-J647)</f>
        <v>11493.980000000001</v>
      </c>
      <c r="T647" s="443">
        <f>S647-3*U647</f>
        <v>11265.350000000002</v>
      </c>
      <c r="U647" s="445">
        <f t="shared" si="230"/>
        <v>76.209999999999994</v>
      </c>
      <c r="V647" s="443">
        <f t="shared" si="229"/>
        <v>67246.34</v>
      </c>
      <c r="W647" s="312">
        <f t="shared" si="181"/>
        <v>67017.710000000006</v>
      </c>
      <c r="X647" s="231">
        <f t="shared" si="243"/>
        <v>11417.770000000002</v>
      </c>
      <c r="Y647" s="231">
        <f t="shared" si="244"/>
        <v>76.209999999999994</v>
      </c>
      <c r="Z647" s="232">
        <f t="shared" si="245"/>
        <v>67093.920000000013</v>
      </c>
      <c r="AA647" s="22">
        <f t="shared" si="242"/>
        <v>0</v>
      </c>
      <c r="AB647" s="424">
        <f t="shared" si="246"/>
        <v>-8.6686213762732223E-13</v>
      </c>
      <c r="AC647" s="424">
        <f t="shared" si="247"/>
        <v>-1.4551915228366852E-11</v>
      </c>
    </row>
    <row r="648" spans="1:29" s="275" customFormat="1" ht="14.25" customHeight="1" x14ac:dyDescent="0.25">
      <c r="A648" s="272"/>
      <c r="B648" s="276"/>
      <c r="C648" s="266"/>
      <c r="D648" s="353" t="s">
        <v>508</v>
      </c>
      <c r="E648" s="457"/>
      <c r="F648" s="268"/>
      <c r="G648" s="278"/>
      <c r="H648" s="151"/>
      <c r="I648" s="151"/>
      <c r="J648" s="151"/>
      <c r="K648" s="269"/>
      <c r="L648" s="269"/>
      <c r="M648" s="269"/>
      <c r="N648" s="269"/>
      <c r="O648" s="269"/>
      <c r="P648" s="269"/>
      <c r="Q648" s="269"/>
      <c r="R648" s="274"/>
      <c r="S648" s="274"/>
      <c r="T648" s="443"/>
      <c r="U648" s="445"/>
      <c r="V648" s="443"/>
      <c r="W648" s="295"/>
      <c r="X648" s="231">
        <f t="shared" si="243"/>
        <v>0</v>
      </c>
      <c r="Y648" s="231">
        <f t="shared" si="244"/>
        <v>0</v>
      </c>
      <c r="Z648" s="232">
        <f t="shared" si="245"/>
        <v>0</v>
      </c>
      <c r="AA648" s="22">
        <f t="shared" si="242"/>
        <v>0</v>
      </c>
      <c r="AB648" s="424">
        <f t="shared" si="246"/>
        <v>0</v>
      </c>
      <c r="AC648" s="424">
        <f t="shared" si="247"/>
        <v>0</v>
      </c>
    </row>
    <row r="649" spans="1:29" s="275" customFormat="1" ht="14.25" customHeight="1" x14ac:dyDescent="0.25">
      <c r="A649" s="272"/>
      <c r="B649" s="276"/>
      <c r="C649" s="266"/>
      <c r="D649" s="354" t="s">
        <v>531</v>
      </c>
      <c r="E649" s="457"/>
      <c r="F649" s="268">
        <v>39.5</v>
      </c>
      <c r="G649" s="278"/>
      <c r="H649" s="151"/>
      <c r="I649" s="151"/>
      <c r="J649" s="151"/>
      <c r="K649" s="269"/>
      <c r="L649" s="269"/>
      <c r="M649" s="269"/>
      <c r="N649" s="269"/>
      <c r="O649" s="269"/>
      <c r="P649" s="269"/>
      <c r="Q649" s="269"/>
      <c r="R649" s="274"/>
      <c r="S649" s="274"/>
      <c r="T649" s="443"/>
      <c r="U649" s="445"/>
      <c r="V649" s="443"/>
      <c r="W649" s="295"/>
      <c r="X649" s="231">
        <f t="shared" si="243"/>
        <v>0</v>
      </c>
      <c r="Y649" s="231">
        <f t="shared" si="244"/>
        <v>0</v>
      </c>
      <c r="Z649" s="232">
        <f t="shared" si="245"/>
        <v>0</v>
      </c>
      <c r="AA649" s="22">
        <f t="shared" si="242"/>
        <v>0</v>
      </c>
      <c r="AB649" s="424">
        <f t="shared" si="246"/>
        <v>0</v>
      </c>
      <c r="AC649" s="424">
        <f t="shared" si="247"/>
        <v>0</v>
      </c>
    </row>
    <row r="650" spans="1:29" s="275" customFormat="1" ht="14.25" customHeight="1" x14ac:dyDescent="0.25">
      <c r="A650" s="340"/>
      <c r="B650" s="293"/>
      <c r="C650" s="341"/>
      <c r="D650" s="293"/>
      <c r="E650" s="470"/>
      <c r="F650" s="342"/>
      <c r="G650" s="343"/>
      <c r="H650" s="344"/>
      <c r="I650" s="344"/>
      <c r="J650" s="344"/>
      <c r="K650" s="345"/>
      <c r="L650" s="345"/>
      <c r="M650" s="345"/>
      <c r="N650" s="345"/>
      <c r="O650" s="345"/>
      <c r="P650" s="345"/>
      <c r="Q650" s="345"/>
      <c r="R650" s="322"/>
      <c r="S650" s="322"/>
      <c r="T650" s="443"/>
      <c r="U650" s="445"/>
      <c r="V650" s="443"/>
      <c r="W650" s="347"/>
      <c r="X650" s="231">
        <f t="shared" si="243"/>
        <v>0</v>
      </c>
      <c r="Y650" s="231">
        <f t="shared" si="244"/>
        <v>0</v>
      </c>
      <c r="Z650" s="232">
        <f t="shared" si="245"/>
        <v>0</v>
      </c>
      <c r="AA650" s="22">
        <f t="shared" si="242"/>
        <v>0</v>
      </c>
      <c r="AB650" s="424">
        <f t="shared" si="246"/>
        <v>0</v>
      </c>
      <c r="AC650" s="424">
        <f t="shared" si="247"/>
        <v>0</v>
      </c>
    </row>
    <row r="651" spans="1:29" s="306" customFormat="1" ht="14.25" customHeight="1" x14ac:dyDescent="0.25">
      <c r="A651" s="313">
        <f>SUM(A647+1)</f>
        <v>150</v>
      </c>
      <c r="B651" s="307" t="s">
        <v>262</v>
      </c>
      <c r="C651" s="348">
        <v>521</v>
      </c>
      <c r="D651" s="307" t="s">
        <v>94</v>
      </c>
      <c r="E651" s="469">
        <v>78</v>
      </c>
      <c r="F651" s="321">
        <v>47.8</v>
      </c>
      <c r="G651" s="309">
        <v>1925</v>
      </c>
      <c r="H651" s="310">
        <f>SUM(Лист1!G173)</f>
        <v>160809.48000000001</v>
      </c>
      <c r="I651" s="310">
        <f>SUM(Лист1!H173)</f>
        <v>0</v>
      </c>
      <c r="J651" s="310">
        <f>SUM(Лист1!I173)</f>
        <v>0</v>
      </c>
      <c r="K651" s="311"/>
      <c r="L651" s="311"/>
      <c r="M651" s="311"/>
      <c r="N651" s="311"/>
      <c r="O651" s="311"/>
      <c r="P651" s="311"/>
      <c r="Q651" s="311"/>
      <c r="R651" s="314">
        <f t="shared" si="205"/>
        <v>160809.48000000001</v>
      </c>
      <c r="S651" s="231">
        <f>SUM(I651+O651-J651)</f>
        <v>0</v>
      </c>
      <c r="T651" s="443">
        <f>S651-3*U651</f>
        <v>0</v>
      </c>
      <c r="U651" s="445"/>
      <c r="V651" s="443">
        <f t="shared" si="229"/>
        <v>160809.48000000001</v>
      </c>
      <c r="W651" s="312">
        <f t="shared" si="181"/>
        <v>160809.48000000001</v>
      </c>
      <c r="X651" s="231">
        <f t="shared" si="243"/>
        <v>0</v>
      </c>
      <c r="Y651" s="231">
        <f t="shared" si="244"/>
        <v>0</v>
      </c>
      <c r="Z651" s="232">
        <f t="shared" si="245"/>
        <v>160809.48000000001</v>
      </c>
      <c r="AA651" s="22">
        <f t="shared" si="242"/>
        <v>0</v>
      </c>
      <c r="AB651" s="424">
        <f t="shared" si="246"/>
        <v>0</v>
      </c>
      <c r="AC651" s="424">
        <f t="shared" si="247"/>
        <v>0</v>
      </c>
    </row>
    <row r="652" spans="1:29" s="275" customFormat="1" ht="14.25" customHeight="1" x14ac:dyDescent="0.25">
      <c r="A652" s="272"/>
      <c r="B652" s="276"/>
      <c r="C652" s="266"/>
      <c r="D652" s="353" t="s">
        <v>494</v>
      </c>
      <c r="E652" s="457"/>
      <c r="F652" s="277">
        <v>47.8</v>
      </c>
      <c r="G652" s="265"/>
      <c r="H652" s="151"/>
      <c r="I652" s="151"/>
      <c r="J652" s="151"/>
      <c r="K652" s="269"/>
      <c r="L652" s="269"/>
      <c r="M652" s="269"/>
      <c r="N652" s="269"/>
      <c r="O652" s="269"/>
      <c r="P652" s="269"/>
      <c r="Q652" s="269"/>
      <c r="R652" s="274"/>
      <c r="S652" s="274"/>
      <c r="T652" s="443"/>
      <c r="U652" s="445"/>
      <c r="V652" s="443"/>
      <c r="W652" s="295"/>
      <c r="X652" s="231">
        <f t="shared" si="243"/>
        <v>0</v>
      </c>
      <c r="Y652" s="231">
        <f t="shared" si="244"/>
        <v>0</v>
      </c>
      <c r="Z652" s="232">
        <f t="shared" si="245"/>
        <v>0</v>
      </c>
      <c r="AA652" s="22">
        <f t="shared" si="242"/>
        <v>0</v>
      </c>
      <c r="AB652" s="424">
        <f t="shared" si="246"/>
        <v>0</v>
      </c>
      <c r="AC652" s="424">
        <f t="shared" si="247"/>
        <v>0</v>
      </c>
    </row>
    <row r="653" spans="1:29" s="275" customFormat="1" ht="14.25" customHeight="1" x14ac:dyDescent="0.25">
      <c r="A653" s="340"/>
      <c r="B653" s="293"/>
      <c r="C653" s="341"/>
      <c r="D653" s="293"/>
      <c r="E653" s="470"/>
      <c r="F653" s="355"/>
      <c r="G653" s="349"/>
      <c r="H653" s="344"/>
      <c r="I653" s="344"/>
      <c r="J653" s="344"/>
      <c r="K653" s="345"/>
      <c r="L653" s="345"/>
      <c r="M653" s="345"/>
      <c r="N653" s="345"/>
      <c r="O653" s="345"/>
      <c r="P653" s="345"/>
      <c r="Q653" s="345"/>
      <c r="R653" s="322"/>
      <c r="S653" s="322"/>
      <c r="T653" s="443"/>
      <c r="U653" s="445"/>
      <c r="V653" s="443"/>
      <c r="W653" s="347"/>
      <c r="X653" s="231">
        <f t="shared" si="243"/>
        <v>0</v>
      </c>
      <c r="Y653" s="231">
        <f t="shared" si="244"/>
        <v>0</v>
      </c>
      <c r="Z653" s="232">
        <f t="shared" si="245"/>
        <v>0</v>
      </c>
      <c r="AA653" s="22">
        <f t="shared" si="242"/>
        <v>0</v>
      </c>
      <c r="AB653" s="424">
        <f t="shared" si="246"/>
        <v>0</v>
      </c>
      <c r="AC653" s="424">
        <f t="shared" si="247"/>
        <v>0</v>
      </c>
    </row>
    <row r="654" spans="1:29" s="376" customFormat="1" ht="14.25" customHeight="1" x14ac:dyDescent="0.25">
      <c r="A654" s="367">
        <f>SUM(A651+1)</f>
        <v>151</v>
      </c>
      <c r="B654" s="360" t="s">
        <v>263</v>
      </c>
      <c r="C654" s="397">
        <v>522</v>
      </c>
      <c r="D654" s="360" t="s">
        <v>252</v>
      </c>
      <c r="E654" s="455">
        <v>162</v>
      </c>
      <c r="F654" s="361">
        <v>45</v>
      </c>
      <c r="G654" s="377">
        <v>1907</v>
      </c>
      <c r="H654" s="363">
        <f>SUM(Лист1!G174)</f>
        <v>70309.119999999995</v>
      </c>
      <c r="I654" s="363">
        <f>SUM(Лист1!H174)</f>
        <v>9881.15</v>
      </c>
      <c r="J654" s="363">
        <f>SUM(Лист1!I174)</f>
        <v>65.97</v>
      </c>
      <c r="K654" s="364"/>
      <c r="L654" s="364"/>
      <c r="M654" s="364"/>
      <c r="N654" s="364"/>
      <c r="O654" s="364"/>
      <c r="P654" s="364"/>
      <c r="Q654" s="364"/>
      <c r="R654" s="363">
        <f t="shared" si="205"/>
        <v>70309.119999999995</v>
      </c>
      <c r="S654" s="231">
        <f>SUM(I654+O654-J654)</f>
        <v>9815.18</v>
      </c>
      <c r="T654" s="443">
        <f>S654-3*U654</f>
        <v>9617.27</v>
      </c>
      <c r="U654" s="445">
        <f t="shared" si="230"/>
        <v>65.97</v>
      </c>
      <c r="V654" s="443">
        <f t="shared" si="229"/>
        <v>60691.849999999991</v>
      </c>
      <c r="W654" s="365">
        <f t="shared" si="181"/>
        <v>60493.939999999995</v>
      </c>
      <c r="X654" s="231">
        <f t="shared" si="243"/>
        <v>9749.2100000000009</v>
      </c>
      <c r="Y654" s="231">
        <f t="shared" si="244"/>
        <v>65.97</v>
      </c>
      <c r="Z654" s="232">
        <f t="shared" si="245"/>
        <v>60559.909999999996</v>
      </c>
      <c r="AA654" s="22">
        <f t="shared" si="242"/>
        <v>0</v>
      </c>
      <c r="AB654" s="424">
        <f t="shared" si="246"/>
        <v>-6.5369931689929217E-13</v>
      </c>
      <c r="AC654" s="424">
        <f t="shared" si="247"/>
        <v>0</v>
      </c>
    </row>
    <row r="655" spans="1:29" s="275" customFormat="1" ht="14.25" customHeight="1" x14ac:dyDescent="0.25">
      <c r="A655" s="272"/>
      <c r="B655" s="276"/>
      <c r="C655" s="266"/>
      <c r="D655" s="353" t="s">
        <v>518</v>
      </c>
      <c r="E655" s="457"/>
      <c r="F655" s="268"/>
      <c r="G655" s="278"/>
      <c r="H655" s="151"/>
      <c r="I655" s="151"/>
      <c r="J655" s="151"/>
      <c r="K655" s="269"/>
      <c r="L655" s="269"/>
      <c r="M655" s="269"/>
      <c r="N655" s="269"/>
      <c r="O655" s="269"/>
      <c r="P655" s="269"/>
      <c r="Q655" s="269"/>
      <c r="R655" s="270"/>
      <c r="S655" s="274"/>
      <c r="T655" s="443"/>
      <c r="U655" s="445"/>
      <c r="V655" s="443"/>
      <c r="W655" s="295"/>
      <c r="X655" s="231">
        <f t="shared" si="243"/>
        <v>0</v>
      </c>
      <c r="Y655" s="231">
        <f t="shared" si="244"/>
        <v>0</v>
      </c>
      <c r="Z655" s="232">
        <f t="shared" si="245"/>
        <v>0</v>
      </c>
      <c r="AA655" s="22">
        <f t="shared" si="242"/>
        <v>0</v>
      </c>
      <c r="AB655" s="424">
        <f t="shared" si="246"/>
        <v>0</v>
      </c>
      <c r="AC655" s="424">
        <f t="shared" si="247"/>
        <v>0</v>
      </c>
    </row>
    <row r="656" spans="1:29" s="275" customFormat="1" ht="14.25" customHeight="1" x14ac:dyDescent="0.25">
      <c r="A656" s="272"/>
      <c r="B656" s="276"/>
      <c r="C656" s="266"/>
      <c r="D656" s="354" t="s">
        <v>592</v>
      </c>
      <c r="E656" s="457"/>
      <c r="F656" s="268">
        <v>45</v>
      </c>
      <c r="G656" s="278"/>
      <c r="H656" s="151"/>
      <c r="I656" s="151"/>
      <c r="J656" s="151"/>
      <c r="K656" s="269"/>
      <c r="L656" s="269"/>
      <c r="M656" s="269"/>
      <c r="N656" s="269"/>
      <c r="O656" s="269"/>
      <c r="P656" s="269"/>
      <c r="Q656" s="269"/>
      <c r="R656" s="270"/>
      <c r="S656" s="274"/>
      <c r="T656" s="443"/>
      <c r="U656" s="445"/>
      <c r="V656" s="443"/>
      <c r="W656" s="295"/>
      <c r="X656" s="231">
        <f t="shared" si="243"/>
        <v>0</v>
      </c>
      <c r="Y656" s="231">
        <f t="shared" si="244"/>
        <v>0</v>
      </c>
      <c r="Z656" s="232">
        <f t="shared" si="245"/>
        <v>0</v>
      </c>
      <c r="AA656" s="22">
        <f t="shared" si="242"/>
        <v>0</v>
      </c>
      <c r="AB656" s="424">
        <f t="shared" si="246"/>
        <v>0</v>
      </c>
      <c r="AC656" s="424">
        <f t="shared" si="247"/>
        <v>0</v>
      </c>
    </row>
    <row r="657" spans="1:29" s="275" customFormat="1" ht="14.25" customHeight="1" x14ac:dyDescent="0.25">
      <c r="A657" s="340"/>
      <c r="B657" s="293"/>
      <c r="C657" s="341"/>
      <c r="D657" s="293"/>
      <c r="E657" s="470"/>
      <c r="F657" s="342"/>
      <c r="G657" s="343"/>
      <c r="H657" s="344"/>
      <c r="I657" s="344"/>
      <c r="J657" s="344"/>
      <c r="K657" s="345"/>
      <c r="L657" s="345"/>
      <c r="M657" s="345"/>
      <c r="N657" s="345"/>
      <c r="O657" s="345"/>
      <c r="P657" s="345"/>
      <c r="Q657" s="345"/>
      <c r="R657" s="346"/>
      <c r="S657" s="322"/>
      <c r="T657" s="443"/>
      <c r="U657" s="445"/>
      <c r="V657" s="443"/>
      <c r="W657" s="347"/>
      <c r="X657" s="231">
        <f t="shared" si="243"/>
        <v>0</v>
      </c>
      <c r="Y657" s="231">
        <f t="shared" si="244"/>
        <v>0</v>
      </c>
      <c r="Z657" s="232">
        <f t="shared" si="245"/>
        <v>0</v>
      </c>
      <c r="AA657" s="22">
        <f t="shared" si="242"/>
        <v>0</v>
      </c>
      <c r="AB657" s="424">
        <f t="shared" si="246"/>
        <v>0</v>
      </c>
      <c r="AC657" s="424">
        <f t="shared" si="247"/>
        <v>0</v>
      </c>
    </row>
    <row r="658" spans="1:29" s="306" customFormat="1" ht="14.25" customHeight="1" x14ac:dyDescent="0.25">
      <c r="A658" s="313">
        <f>SUM(A654+1)</f>
        <v>152</v>
      </c>
      <c r="B658" s="307" t="s">
        <v>264</v>
      </c>
      <c r="C658" s="348">
        <v>525</v>
      </c>
      <c r="D658" s="307" t="s">
        <v>252</v>
      </c>
      <c r="E658" s="320">
        <v>68</v>
      </c>
      <c r="F658" s="321">
        <v>26.05</v>
      </c>
      <c r="G658" s="309">
        <v>1952</v>
      </c>
      <c r="H658" s="310">
        <f>SUM(Лист1!G175)</f>
        <v>40759.85</v>
      </c>
      <c r="I658" s="310">
        <f>SUM(Лист1!H175)</f>
        <v>0</v>
      </c>
      <c r="J658" s="310">
        <f>SUM(Лист1!I175)</f>
        <v>0</v>
      </c>
      <c r="K658" s="311"/>
      <c r="L658" s="311"/>
      <c r="M658" s="311"/>
      <c r="N658" s="308">
        <v>17713.48</v>
      </c>
      <c r="O658" s="308">
        <v>14445.94</v>
      </c>
      <c r="P658" s="319">
        <v>72.39</v>
      </c>
      <c r="Q658" s="311"/>
      <c r="R658" s="237">
        <f t="shared" ref="R658" si="254">SUM(H658+N658)</f>
        <v>58473.33</v>
      </c>
      <c r="S658" s="231">
        <f>SUM(I658+O658-J658)</f>
        <v>14445.94</v>
      </c>
      <c r="T658" s="443">
        <f>S658-3*U658</f>
        <v>14228.77</v>
      </c>
      <c r="U658" s="445">
        <f t="shared" ref="U658:U695" si="255">J658+P658</f>
        <v>72.39</v>
      </c>
      <c r="V658" s="443">
        <f t="shared" ref="V658:V712" si="256">R658-T658</f>
        <v>44244.56</v>
      </c>
      <c r="W658" s="314">
        <f t="shared" si="181"/>
        <v>44027.39</v>
      </c>
      <c r="X658" s="231">
        <f t="shared" si="243"/>
        <v>14373.550000000001</v>
      </c>
      <c r="Y658" s="231">
        <f t="shared" si="244"/>
        <v>72.39</v>
      </c>
      <c r="Z658" s="232">
        <f t="shared" si="245"/>
        <v>44099.78</v>
      </c>
      <c r="AA658" s="22">
        <f t="shared" si="242"/>
        <v>0</v>
      </c>
      <c r="AB658" s="424">
        <f t="shared" si="246"/>
        <v>-5.8264504332328215E-13</v>
      </c>
      <c r="AC658" s="424">
        <f t="shared" si="247"/>
        <v>0</v>
      </c>
    </row>
    <row r="659" spans="1:29" s="275" customFormat="1" ht="14.25" customHeight="1" x14ac:dyDescent="0.25">
      <c r="A659" s="272"/>
      <c r="B659" s="276"/>
      <c r="C659" s="266"/>
      <c r="D659" s="353" t="s">
        <v>501</v>
      </c>
      <c r="E659" s="267"/>
      <c r="F659" s="277">
        <v>26.05</v>
      </c>
      <c r="G659" s="265"/>
      <c r="H659" s="151"/>
      <c r="I659" s="151"/>
      <c r="J659" s="151"/>
      <c r="K659" s="269"/>
      <c r="L659" s="269"/>
      <c r="M659" s="269"/>
      <c r="N659" s="268"/>
      <c r="O659" s="268"/>
      <c r="P659" s="315"/>
      <c r="Q659" s="269"/>
      <c r="R659" s="274"/>
      <c r="S659" s="274"/>
      <c r="T659" s="443"/>
      <c r="U659" s="445"/>
      <c r="V659" s="443"/>
      <c r="W659" s="274"/>
      <c r="X659" s="231">
        <f t="shared" si="243"/>
        <v>0</v>
      </c>
      <c r="Y659" s="231">
        <f t="shared" si="244"/>
        <v>0</v>
      </c>
      <c r="Z659" s="232">
        <f t="shared" si="245"/>
        <v>0</v>
      </c>
      <c r="AA659" s="22">
        <f t="shared" si="242"/>
        <v>0</v>
      </c>
      <c r="AB659" s="424">
        <f t="shared" si="246"/>
        <v>0</v>
      </c>
      <c r="AC659" s="424">
        <f t="shared" si="247"/>
        <v>0</v>
      </c>
    </row>
    <row r="660" spans="1:29" s="275" customFormat="1" ht="14.25" customHeight="1" x14ac:dyDescent="0.25">
      <c r="A660" s="340"/>
      <c r="B660" s="293"/>
      <c r="C660" s="341"/>
      <c r="D660" s="293"/>
      <c r="E660" s="294"/>
      <c r="F660" s="355"/>
      <c r="G660" s="349"/>
      <c r="H660" s="344"/>
      <c r="I660" s="344"/>
      <c r="J660" s="344"/>
      <c r="K660" s="345"/>
      <c r="L660" s="345"/>
      <c r="M660" s="345"/>
      <c r="N660" s="342"/>
      <c r="O660" s="342"/>
      <c r="P660" s="350"/>
      <c r="Q660" s="345"/>
      <c r="R660" s="322"/>
      <c r="S660" s="322"/>
      <c r="T660" s="443"/>
      <c r="U660" s="445"/>
      <c r="V660" s="443"/>
      <c r="W660" s="322"/>
      <c r="X660" s="231">
        <f t="shared" si="243"/>
        <v>0</v>
      </c>
      <c r="Y660" s="231">
        <f t="shared" si="244"/>
        <v>0</v>
      </c>
      <c r="Z660" s="232">
        <f t="shared" si="245"/>
        <v>0</v>
      </c>
      <c r="AA660" s="22">
        <f t="shared" si="242"/>
        <v>0</v>
      </c>
      <c r="AB660" s="424">
        <f t="shared" si="246"/>
        <v>0</v>
      </c>
      <c r="AC660" s="424">
        <f t="shared" si="247"/>
        <v>0</v>
      </c>
    </row>
    <row r="661" spans="1:29" s="306" customFormat="1" ht="14.25" customHeight="1" x14ac:dyDescent="0.25">
      <c r="A661" s="313">
        <f>SUM(A658+1)</f>
        <v>153</v>
      </c>
      <c r="B661" s="307" t="s">
        <v>265</v>
      </c>
      <c r="C661" s="348">
        <v>530</v>
      </c>
      <c r="D661" s="307" t="s">
        <v>266</v>
      </c>
      <c r="E661" s="320">
        <v>9</v>
      </c>
      <c r="F661" s="321">
        <f>F662</f>
        <v>26.7</v>
      </c>
      <c r="G661" s="339">
        <v>1905</v>
      </c>
      <c r="H661" s="310">
        <f>SUM(Лист1!G176)</f>
        <v>81634.87</v>
      </c>
      <c r="I661" s="310">
        <f>SUM(Лист1!H176)</f>
        <v>2061.0100000000002</v>
      </c>
      <c r="J661" s="310">
        <f>SUM(Лист1!I176)</f>
        <v>13.63</v>
      </c>
      <c r="K661" s="311"/>
      <c r="L661" s="311"/>
      <c r="M661" s="311"/>
      <c r="N661" s="308">
        <v>45047.47</v>
      </c>
      <c r="O661" s="308">
        <v>33595.56</v>
      </c>
      <c r="P661" s="319">
        <v>183.35</v>
      </c>
      <c r="Q661" s="311"/>
      <c r="R661" s="237">
        <f t="shared" ref="R661" si="257">SUM(H661+N661)</f>
        <v>126682.34</v>
      </c>
      <c r="S661" s="231">
        <f>SUM(I661+O661-J661)</f>
        <v>35642.94</v>
      </c>
      <c r="T661" s="443">
        <f>S661-3*U661</f>
        <v>35052</v>
      </c>
      <c r="U661" s="445">
        <f t="shared" si="255"/>
        <v>196.98</v>
      </c>
      <c r="V661" s="443">
        <f t="shared" si="256"/>
        <v>91630.34</v>
      </c>
      <c r="W661" s="312">
        <f t="shared" si="181"/>
        <v>91039.4</v>
      </c>
      <c r="X661" s="231">
        <f t="shared" si="243"/>
        <v>35445.96</v>
      </c>
      <c r="Y661" s="231">
        <f t="shared" si="244"/>
        <v>196.98</v>
      </c>
      <c r="Z661" s="232">
        <f t="shared" si="245"/>
        <v>91236.37999999999</v>
      </c>
      <c r="AA661" s="22">
        <f t="shared" si="242"/>
        <v>0</v>
      </c>
      <c r="AB661" s="424">
        <f t="shared" si="246"/>
        <v>3.2116531656356528E-12</v>
      </c>
      <c r="AC661" s="424">
        <f t="shared" si="247"/>
        <v>1.4551915228366852E-11</v>
      </c>
    </row>
    <row r="662" spans="1:29" s="275" customFormat="1" ht="14.25" customHeight="1" x14ac:dyDescent="0.25">
      <c r="A662" s="272"/>
      <c r="B662" s="276"/>
      <c r="C662" s="266"/>
      <c r="D662" s="353" t="s">
        <v>501</v>
      </c>
      <c r="E662" s="267"/>
      <c r="F662" s="277">
        <v>26.7</v>
      </c>
      <c r="G662" s="278"/>
      <c r="H662" s="151"/>
      <c r="I662" s="151"/>
      <c r="J662" s="151"/>
      <c r="K662" s="269"/>
      <c r="L662" s="269"/>
      <c r="M662" s="269"/>
      <c r="N662" s="268"/>
      <c r="O662" s="268"/>
      <c r="P662" s="315"/>
      <c r="Q662" s="269"/>
      <c r="R662" s="270"/>
      <c r="S662" s="274"/>
      <c r="T662" s="443"/>
      <c r="U662" s="445"/>
      <c r="V662" s="443"/>
      <c r="W662" s="295"/>
      <c r="X662" s="231">
        <f t="shared" si="243"/>
        <v>0</v>
      </c>
      <c r="Y662" s="231">
        <f t="shared" si="244"/>
        <v>0</v>
      </c>
      <c r="Z662" s="232">
        <f t="shared" si="245"/>
        <v>0</v>
      </c>
      <c r="AA662" s="22">
        <f t="shared" si="242"/>
        <v>0</v>
      </c>
      <c r="AB662" s="424">
        <f t="shared" si="246"/>
        <v>0</v>
      </c>
      <c r="AC662" s="424">
        <f t="shared" si="247"/>
        <v>0</v>
      </c>
    </row>
    <row r="663" spans="1:29" s="275" customFormat="1" ht="14.25" customHeight="1" x14ac:dyDescent="0.25">
      <c r="A663" s="340"/>
      <c r="B663" s="293"/>
      <c r="C663" s="341"/>
      <c r="D663" s="293"/>
      <c r="E663" s="294"/>
      <c r="F663" s="355"/>
      <c r="G663" s="343"/>
      <c r="H663" s="344"/>
      <c r="I663" s="344"/>
      <c r="J663" s="344"/>
      <c r="K663" s="345"/>
      <c r="L663" s="345"/>
      <c r="M663" s="345"/>
      <c r="N663" s="342"/>
      <c r="O663" s="342"/>
      <c r="P663" s="350"/>
      <c r="Q663" s="345"/>
      <c r="R663" s="346"/>
      <c r="S663" s="322"/>
      <c r="T663" s="443"/>
      <c r="U663" s="445"/>
      <c r="V663" s="443"/>
      <c r="W663" s="347"/>
      <c r="X663" s="231">
        <f t="shared" si="243"/>
        <v>0</v>
      </c>
      <c r="Y663" s="231">
        <f t="shared" si="244"/>
        <v>0</v>
      </c>
      <c r="Z663" s="232">
        <f t="shared" si="245"/>
        <v>0</v>
      </c>
      <c r="AA663" s="22">
        <f t="shared" si="242"/>
        <v>0</v>
      </c>
      <c r="AB663" s="424">
        <f t="shared" si="246"/>
        <v>0</v>
      </c>
      <c r="AC663" s="424">
        <f t="shared" si="247"/>
        <v>0</v>
      </c>
    </row>
    <row r="664" spans="1:29" s="306" customFormat="1" ht="14.25" customHeight="1" x14ac:dyDescent="0.25">
      <c r="A664" s="313">
        <f>SUM(A661+1)</f>
        <v>154</v>
      </c>
      <c r="B664" s="307" t="s">
        <v>267</v>
      </c>
      <c r="C664" s="348">
        <v>532</v>
      </c>
      <c r="D664" s="307" t="s">
        <v>37</v>
      </c>
      <c r="E664" s="379" t="s">
        <v>268</v>
      </c>
      <c r="F664" s="380">
        <v>29.5</v>
      </c>
      <c r="G664" s="309">
        <v>1872</v>
      </c>
      <c r="H664" s="310">
        <f>SUM(Лист1!G177)</f>
        <v>21807.62</v>
      </c>
      <c r="I664" s="310">
        <f>SUM(Лист1!H177)</f>
        <v>0</v>
      </c>
      <c r="J664" s="310">
        <f>SUM(Лист1!I177)</f>
        <v>0</v>
      </c>
      <c r="K664" s="311"/>
      <c r="L664" s="311"/>
      <c r="M664" s="311"/>
      <c r="N664" s="311"/>
      <c r="O664" s="311"/>
      <c r="P664" s="311"/>
      <c r="Q664" s="311"/>
      <c r="R664" s="314">
        <f t="shared" si="205"/>
        <v>21807.62</v>
      </c>
      <c r="S664" s="231">
        <f>SUM(I664+O664-J664)</f>
        <v>0</v>
      </c>
      <c r="T664" s="443"/>
      <c r="U664" s="445"/>
      <c r="V664" s="443">
        <f t="shared" si="256"/>
        <v>21807.62</v>
      </c>
      <c r="W664" s="312">
        <f t="shared" si="181"/>
        <v>21807.62</v>
      </c>
      <c r="X664" s="231">
        <f t="shared" si="243"/>
        <v>0</v>
      </c>
      <c r="Y664" s="231">
        <f t="shared" si="244"/>
        <v>0</v>
      </c>
      <c r="Z664" s="232">
        <f t="shared" si="245"/>
        <v>21807.62</v>
      </c>
      <c r="AA664" s="22">
        <f t="shared" si="242"/>
        <v>0</v>
      </c>
      <c r="AB664" s="424">
        <f t="shared" si="246"/>
        <v>0</v>
      </c>
      <c r="AC664" s="424">
        <f t="shared" si="247"/>
        <v>0</v>
      </c>
    </row>
    <row r="665" spans="1:29" s="275" customFormat="1" ht="14.25" customHeight="1" x14ac:dyDescent="0.25">
      <c r="A665" s="272"/>
      <c r="B665" s="276"/>
      <c r="C665" s="266"/>
      <c r="D665" s="353" t="s">
        <v>477</v>
      </c>
      <c r="E665" s="375"/>
      <c r="F665" s="381"/>
      <c r="G665" s="265"/>
      <c r="H665" s="151"/>
      <c r="I665" s="151"/>
      <c r="J665" s="151"/>
      <c r="K665" s="269"/>
      <c r="L665" s="269"/>
      <c r="M665" s="269"/>
      <c r="N665" s="269"/>
      <c r="O665" s="269"/>
      <c r="P665" s="269"/>
      <c r="Q665" s="269"/>
      <c r="R665" s="274"/>
      <c r="S665" s="274"/>
      <c r="T665" s="443"/>
      <c r="U665" s="445"/>
      <c r="V665" s="443"/>
      <c r="W665" s="295"/>
      <c r="X665" s="231">
        <f t="shared" si="243"/>
        <v>0</v>
      </c>
      <c r="Y665" s="231">
        <f t="shared" si="244"/>
        <v>0</v>
      </c>
      <c r="Z665" s="232">
        <f t="shared" si="245"/>
        <v>0</v>
      </c>
      <c r="AA665" s="22">
        <f t="shared" si="242"/>
        <v>0</v>
      </c>
      <c r="AB665" s="424">
        <f t="shared" si="246"/>
        <v>0</v>
      </c>
      <c r="AC665" s="424">
        <f t="shared" si="247"/>
        <v>0</v>
      </c>
    </row>
    <row r="666" spans="1:29" s="275" customFormat="1" ht="14.25" customHeight="1" x14ac:dyDescent="0.25">
      <c r="A666" s="340"/>
      <c r="B666" s="293"/>
      <c r="C666" s="341"/>
      <c r="D666" s="293"/>
      <c r="E666" s="378"/>
      <c r="F666" s="382"/>
      <c r="G666" s="349"/>
      <c r="H666" s="344"/>
      <c r="I666" s="344"/>
      <c r="J666" s="344"/>
      <c r="K666" s="345"/>
      <c r="L666" s="345"/>
      <c r="M666" s="345"/>
      <c r="N666" s="345"/>
      <c r="O666" s="345"/>
      <c r="P666" s="345"/>
      <c r="Q666" s="345"/>
      <c r="R666" s="322"/>
      <c r="S666" s="322"/>
      <c r="T666" s="443"/>
      <c r="U666" s="445"/>
      <c r="V666" s="443"/>
      <c r="W666" s="347"/>
      <c r="X666" s="231">
        <f t="shared" si="243"/>
        <v>0</v>
      </c>
      <c r="Y666" s="231">
        <f t="shared" si="244"/>
        <v>0</v>
      </c>
      <c r="Z666" s="232">
        <f t="shared" si="245"/>
        <v>0</v>
      </c>
      <c r="AA666" s="22">
        <f t="shared" si="242"/>
        <v>0</v>
      </c>
      <c r="AB666" s="424">
        <f t="shared" si="246"/>
        <v>0</v>
      </c>
      <c r="AC666" s="424">
        <f t="shared" si="247"/>
        <v>0</v>
      </c>
    </row>
    <row r="667" spans="1:29" s="306" customFormat="1" ht="14.25" customHeight="1" x14ac:dyDescent="0.25">
      <c r="A667" s="313">
        <f>SUM(A664+1)</f>
        <v>155</v>
      </c>
      <c r="B667" s="307" t="s">
        <v>269</v>
      </c>
      <c r="C667" s="348">
        <v>534</v>
      </c>
      <c r="D667" s="307" t="s">
        <v>37</v>
      </c>
      <c r="E667" s="469">
        <v>125</v>
      </c>
      <c r="F667" s="308">
        <v>25.89</v>
      </c>
      <c r="G667" s="339">
        <v>1900</v>
      </c>
      <c r="H667" s="310">
        <f>SUM(Лист1!G178)</f>
        <v>113331.84</v>
      </c>
      <c r="I667" s="310">
        <f>SUM(Лист1!H178)</f>
        <v>0</v>
      </c>
      <c r="J667" s="310">
        <f>SUM(Лист1!I178)</f>
        <v>0</v>
      </c>
      <c r="K667" s="311"/>
      <c r="L667" s="311"/>
      <c r="M667" s="311"/>
      <c r="N667" s="311"/>
      <c r="O667" s="311"/>
      <c r="P667" s="311"/>
      <c r="Q667" s="311"/>
      <c r="R667" s="310">
        <f t="shared" si="205"/>
        <v>113331.84</v>
      </c>
      <c r="S667" s="231">
        <f>SUM(I667+O667-J667)</f>
        <v>0</v>
      </c>
      <c r="T667" s="443"/>
      <c r="U667" s="445"/>
      <c r="V667" s="443">
        <f t="shared" si="256"/>
        <v>113331.84</v>
      </c>
      <c r="W667" s="312">
        <f t="shared" si="181"/>
        <v>113331.84</v>
      </c>
      <c r="X667" s="231">
        <f t="shared" si="243"/>
        <v>0</v>
      </c>
      <c r="Y667" s="231">
        <f t="shared" si="244"/>
        <v>0</v>
      </c>
      <c r="Z667" s="232">
        <f t="shared" si="245"/>
        <v>113331.84</v>
      </c>
      <c r="AA667" s="22">
        <f t="shared" si="242"/>
        <v>0</v>
      </c>
      <c r="AB667" s="424">
        <f t="shared" si="246"/>
        <v>0</v>
      </c>
      <c r="AC667" s="424">
        <f t="shared" si="247"/>
        <v>0</v>
      </c>
    </row>
    <row r="668" spans="1:29" s="275" customFormat="1" ht="14.25" customHeight="1" x14ac:dyDescent="0.25">
      <c r="A668" s="272"/>
      <c r="B668" s="276"/>
      <c r="C668" s="266"/>
      <c r="D668" s="353" t="s">
        <v>494</v>
      </c>
      <c r="E668" s="457"/>
      <c r="F668" s="268">
        <v>25.89</v>
      </c>
      <c r="G668" s="278"/>
      <c r="H668" s="151"/>
      <c r="I668" s="151"/>
      <c r="J668" s="151"/>
      <c r="K668" s="269"/>
      <c r="L668" s="269"/>
      <c r="M668" s="269"/>
      <c r="N668" s="269"/>
      <c r="O668" s="269"/>
      <c r="P668" s="269"/>
      <c r="Q668" s="269"/>
      <c r="R668" s="270"/>
      <c r="S668" s="274"/>
      <c r="T668" s="443"/>
      <c r="U668" s="445"/>
      <c r="V668" s="443"/>
      <c r="W668" s="295"/>
      <c r="X668" s="231">
        <f t="shared" si="243"/>
        <v>0</v>
      </c>
      <c r="Y668" s="231">
        <f t="shared" si="244"/>
        <v>0</v>
      </c>
      <c r="Z668" s="232">
        <f t="shared" si="245"/>
        <v>0</v>
      </c>
      <c r="AA668" s="22">
        <f t="shared" si="242"/>
        <v>0</v>
      </c>
      <c r="AB668" s="424">
        <f t="shared" si="246"/>
        <v>0</v>
      </c>
      <c r="AC668" s="424">
        <f t="shared" si="247"/>
        <v>0</v>
      </c>
    </row>
    <row r="669" spans="1:29" s="275" customFormat="1" ht="14.25" customHeight="1" x14ac:dyDescent="0.25">
      <c r="A669" s="340"/>
      <c r="B669" s="293"/>
      <c r="C669" s="341"/>
      <c r="D669" s="293"/>
      <c r="E669" s="470"/>
      <c r="F669" s="342"/>
      <c r="G669" s="343"/>
      <c r="H669" s="344"/>
      <c r="I669" s="344"/>
      <c r="J669" s="344"/>
      <c r="K669" s="345"/>
      <c r="L669" s="345"/>
      <c r="M669" s="345"/>
      <c r="N669" s="345"/>
      <c r="O669" s="345"/>
      <c r="P669" s="345"/>
      <c r="Q669" s="345"/>
      <c r="R669" s="346"/>
      <c r="S669" s="322"/>
      <c r="T669" s="443"/>
      <c r="U669" s="445"/>
      <c r="V669" s="443"/>
      <c r="W669" s="347"/>
      <c r="X669" s="231">
        <f t="shared" si="243"/>
        <v>0</v>
      </c>
      <c r="Y669" s="231">
        <f t="shared" si="244"/>
        <v>0</v>
      </c>
      <c r="Z669" s="232">
        <f t="shared" si="245"/>
        <v>0</v>
      </c>
      <c r="AA669" s="22">
        <f t="shared" si="242"/>
        <v>0</v>
      </c>
      <c r="AB669" s="424">
        <f t="shared" si="246"/>
        <v>0</v>
      </c>
      <c r="AC669" s="424">
        <f t="shared" si="247"/>
        <v>0</v>
      </c>
    </row>
    <row r="670" spans="1:29" s="306" customFormat="1" ht="14.25" customHeight="1" x14ac:dyDescent="0.25">
      <c r="A670" s="313">
        <f>SUM(A667+1)</f>
        <v>156</v>
      </c>
      <c r="B670" s="307" t="s">
        <v>270</v>
      </c>
      <c r="C670" s="348">
        <v>544</v>
      </c>
      <c r="D670" s="307" t="s">
        <v>234</v>
      </c>
      <c r="E670" s="469">
        <v>32</v>
      </c>
      <c r="F670" s="308">
        <f>F672+F674+F673+F675+F676+F677+F678</f>
        <v>435.5</v>
      </c>
      <c r="G670" s="339">
        <v>2000</v>
      </c>
      <c r="H670" s="310">
        <f>SUM(Лист1!G179)</f>
        <v>1199728.1299999999</v>
      </c>
      <c r="I670" s="310">
        <f>SUM(Лист1!H179)</f>
        <v>677269.68</v>
      </c>
      <c r="J670" s="310">
        <f>SUM(Лист1!I179)</f>
        <v>700.46</v>
      </c>
      <c r="K670" s="311"/>
      <c r="L670" s="311"/>
      <c r="M670" s="311"/>
      <c r="N670" s="308">
        <v>3067.9</v>
      </c>
      <c r="O670" s="308">
        <v>2802.11</v>
      </c>
      <c r="P670" s="319">
        <v>2.87</v>
      </c>
      <c r="Q670" s="311"/>
      <c r="R670" s="237">
        <f t="shared" ref="R670" si="258">SUM(H670+N670)</f>
        <v>1202796.0299999998</v>
      </c>
      <c r="S670" s="231">
        <f>SUM(I670+O670-J670)</f>
        <v>679371.33000000007</v>
      </c>
      <c r="T670" s="443">
        <f>S670-3*U670</f>
        <v>677261.34000000008</v>
      </c>
      <c r="U670" s="445">
        <f t="shared" si="255"/>
        <v>703.33</v>
      </c>
      <c r="V670" s="443">
        <f t="shared" si="256"/>
        <v>525534.68999999971</v>
      </c>
      <c r="W670" s="312">
        <f t="shared" si="181"/>
        <v>523424.69999999972</v>
      </c>
      <c r="X670" s="231">
        <f t="shared" si="243"/>
        <v>678668.00000000012</v>
      </c>
      <c r="Y670" s="231">
        <f t="shared" si="244"/>
        <v>703.33</v>
      </c>
      <c r="Z670" s="232">
        <f t="shared" si="245"/>
        <v>524128.02999999974</v>
      </c>
      <c r="AA670" s="22">
        <f t="shared" si="242"/>
        <v>0</v>
      </c>
      <c r="AB670" s="424">
        <f t="shared" si="246"/>
        <v>-4.1950443119276315E-11</v>
      </c>
      <c r="AC670" s="424">
        <f t="shared" si="247"/>
        <v>-5.8207660913467407E-11</v>
      </c>
    </row>
    <row r="671" spans="1:29" s="275" customFormat="1" ht="14.25" customHeight="1" x14ac:dyDescent="0.25">
      <c r="A671" s="272"/>
      <c r="B671" s="276"/>
      <c r="C671" s="266"/>
      <c r="D671" s="353" t="s">
        <v>518</v>
      </c>
      <c r="E671" s="457"/>
      <c r="F671" s="268"/>
      <c r="G671" s="278"/>
      <c r="H671" s="151"/>
      <c r="I671" s="151"/>
      <c r="J671" s="151"/>
      <c r="K671" s="269"/>
      <c r="L671" s="269"/>
      <c r="M671" s="269"/>
      <c r="N671" s="268"/>
      <c r="O671" s="268"/>
      <c r="P671" s="315"/>
      <c r="Q671" s="269"/>
      <c r="R671" s="270"/>
      <c r="S671" s="274"/>
      <c r="T671" s="443"/>
      <c r="U671" s="445"/>
      <c r="V671" s="443"/>
      <c r="W671" s="295"/>
      <c r="X671" s="231">
        <f t="shared" si="243"/>
        <v>0</v>
      </c>
      <c r="Y671" s="231">
        <f t="shared" si="244"/>
        <v>0</v>
      </c>
      <c r="Z671" s="232">
        <f t="shared" si="245"/>
        <v>0</v>
      </c>
      <c r="AA671" s="22">
        <f t="shared" ref="AA671:AA712" si="259">SUM(U671-Y671)</f>
        <v>0</v>
      </c>
      <c r="AB671" s="424">
        <f t="shared" si="246"/>
        <v>0</v>
      </c>
      <c r="AC671" s="424">
        <f t="shared" si="247"/>
        <v>0</v>
      </c>
    </row>
    <row r="672" spans="1:29" s="275" customFormat="1" ht="14.25" customHeight="1" x14ac:dyDescent="0.25">
      <c r="A672" s="272"/>
      <c r="B672" s="276"/>
      <c r="C672" s="266"/>
      <c r="D672" s="354" t="s">
        <v>567</v>
      </c>
      <c r="E672" s="457"/>
      <c r="F672" s="268">
        <v>52.2</v>
      </c>
      <c r="G672" s="278"/>
      <c r="H672" s="151"/>
      <c r="I672" s="151"/>
      <c r="J672" s="151"/>
      <c r="K672" s="269"/>
      <c r="L672" s="269"/>
      <c r="M672" s="269"/>
      <c r="N672" s="268"/>
      <c r="O672" s="268"/>
      <c r="P672" s="315"/>
      <c r="Q672" s="269"/>
      <c r="R672" s="270">
        <f>$R$670/$F$670*F672</f>
        <v>144169.81117336394</v>
      </c>
      <c r="S672" s="274">
        <f>679371.33/435.5*F672</f>
        <v>81430.960794489089</v>
      </c>
      <c r="T672" s="443">
        <f>$T$670/$F$670*F672</f>
        <v>81178.052693455815</v>
      </c>
      <c r="U672" s="445"/>
      <c r="V672" s="443">
        <f t="shared" si="256"/>
        <v>62991.758479908123</v>
      </c>
      <c r="W672" s="295">
        <f>SUM(R672-S672)</f>
        <v>62738.850378874849</v>
      </c>
      <c r="X672" s="231">
        <f t="shared" ref="X672:X714" si="260">SUM(S672-U672)</f>
        <v>81430.960794489089</v>
      </c>
      <c r="Y672" s="231">
        <f t="shared" ref="Y672:Y714" si="261">SUM(U672)</f>
        <v>0</v>
      </c>
      <c r="Z672" s="232">
        <f t="shared" ref="Z672:Z712" si="262">SUM(U672+W672)</f>
        <v>62738.850378874849</v>
      </c>
      <c r="AA672" s="22">
        <f t="shared" si="259"/>
        <v>0</v>
      </c>
      <c r="AB672" s="424">
        <f t="shared" ref="AB672:AB714" si="263">SUM(S672-X672-U672)</f>
        <v>0</v>
      </c>
      <c r="AC672" s="424">
        <f t="shared" ref="AC672:AC712" si="264">SUM(R672-X672-Z672)</f>
        <v>0</v>
      </c>
    </row>
    <row r="673" spans="1:29" s="275" customFormat="1" ht="14.25" customHeight="1" x14ac:dyDescent="0.25">
      <c r="A673" s="272"/>
      <c r="B673" s="276"/>
      <c r="C673" s="266"/>
      <c r="D673" s="354" t="s">
        <v>603</v>
      </c>
      <c r="E673" s="457"/>
      <c r="F673" s="268">
        <v>75.2</v>
      </c>
      <c r="G673" s="278"/>
      <c r="H673" s="151"/>
      <c r="I673" s="151"/>
      <c r="J673" s="151"/>
      <c r="K673" s="269"/>
      <c r="L673" s="269"/>
      <c r="M673" s="269"/>
      <c r="N673" s="268"/>
      <c r="O673" s="268"/>
      <c r="P673" s="315"/>
      <c r="Q673" s="269"/>
      <c r="R673" s="270">
        <f t="shared" ref="R673:R678" si="265">$R$670/$F$670*F673</f>
        <v>207692.90805051662</v>
      </c>
      <c r="S673" s="274">
        <f t="shared" ref="S673:S678" si="266">679371.33/435.5*F673</f>
        <v>117310.50290700345</v>
      </c>
      <c r="T673" s="443">
        <f t="shared" ref="T673:T678" si="267">$T$670/$F$670*F673</f>
        <v>116946.1602020666</v>
      </c>
      <c r="U673" s="445"/>
      <c r="V673" s="443">
        <f t="shared" si="256"/>
        <v>90746.747848450017</v>
      </c>
      <c r="W673" s="295">
        <f t="shared" ref="W673:W678" si="268">SUM(R673-S673)</f>
        <v>90382.40514351317</v>
      </c>
      <c r="X673" s="231">
        <f t="shared" si="260"/>
        <v>117310.50290700345</v>
      </c>
      <c r="Y673" s="231">
        <f t="shared" si="261"/>
        <v>0</v>
      </c>
      <c r="Z673" s="232">
        <f t="shared" si="262"/>
        <v>90382.40514351317</v>
      </c>
      <c r="AA673" s="22">
        <f t="shared" si="259"/>
        <v>0</v>
      </c>
      <c r="AB673" s="424">
        <f t="shared" si="263"/>
        <v>0</v>
      </c>
      <c r="AC673" s="424">
        <f t="shared" si="264"/>
        <v>0</v>
      </c>
    </row>
    <row r="674" spans="1:29" s="275" customFormat="1" ht="14.25" customHeight="1" x14ac:dyDescent="0.25">
      <c r="A674" s="272"/>
      <c r="B674" s="276"/>
      <c r="C674" s="266"/>
      <c r="D674" s="354" t="s">
        <v>604</v>
      </c>
      <c r="E674" s="457"/>
      <c r="F674" s="268">
        <v>75.2</v>
      </c>
      <c r="G674" s="278"/>
      <c r="H674" s="151"/>
      <c r="I674" s="151"/>
      <c r="J674" s="151"/>
      <c r="K674" s="269"/>
      <c r="L674" s="269"/>
      <c r="M674" s="269"/>
      <c r="N674" s="268"/>
      <c r="O674" s="268"/>
      <c r="P674" s="315"/>
      <c r="Q674" s="269"/>
      <c r="R674" s="270">
        <f t="shared" si="265"/>
        <v>207692.90805051662</v>
      </c>
      <c r="S674" s="274">
        <f t="shared" si="266"/>
        <v>117310.50290700345</v>
      </c>
      <c r="T674" s="443">
        <f t="shared" si="267"/>
        <v>116946.1602020666</v>
      </c>
      <c r="U674" s="445"/>
      <c r="V674" s="443">
        <f t="shared" si="256"/>
        <v>90746.747848450017</v>
      </c>
      <c r="W674" s="295">
        <f t="shared" si="268"/>
        <v>90382.40514351317</v>
      </c>
      <c r="X674" s="231">
        <f t="shared" si="260"/>
        <v>117310.50290700345</v>
      </c>
      <c r="Y674" s="231">
        <f t="shared" si="261"/>
        <v>0</v>
      </c>
      <c r="Z674" s="232">
        <f t="shared" si="262"/>
        <v>90382.40514351317</v>
      </c>
      <c r="AA674" s="22">
        <f t="shared" si="259"/>
        <v>0</v>
      </c>
      <c r="AB674" s="424">
        <f t="shared" si="263"/>
        <v>0</v>
      </c>
      <c r="AC674" s="424">
        <f t="shared" si="264"/>
        <v>0</v>
      </c>
    </row>
    <row r="675" spans="1:29" s="275" customFormat="1" ht="14.25" customHeight="1" x14ac:dyDescent="0.25">
      <c r="A675" s="272"/>
      <c r="B675" s="276"/>
      <c r="C675" s="266"/>
      <c r="D675" s="354" t="s">
        <v>591</v>
      </c>
      <c r="E675" s="457"/>
      <c r="F675" s="268">
        <v>52.2</v>
      </c>
      <c r="G675" s="278"/>
      <c r="H675" s="151"/>
      <c r="I675" s="151"/>
      <c r="J675" s="151"/>
      <c r="K675" s="269"/>
      <c r="L675" s="269"/>
      <c r="M675" s="269"/>
      <c r="N675" s="268"/>
      <c r="O675" s="268"/>
      <c r="P675" s="315"/>
      <c r="Q675" s="269"/>
      <c r="R675" s="270">
        <f t="shared" si="265"/>
        <v>144169.81117336394</v>
      </c>
      <c r="S675" s="274">
        <f t="shared" si="266"/>
        <v>81430.960794489089</v>
      </c>
      <c r="T675" s="443">
        <f t="shared" si="267"/>
        <v>81178.052693455815</v>
      </c>
      <c r="U675" s="445"/>
      <c r="V675" s="443">
        <f t="shared" si="256"/>
        <v>62991.758479908123</v>
      </c>
      <c r="W675" s="295">
        <f t="shared" si="268"/>
        <v>62738.850378874849</v>
      </c>
      <c r="X675" s="231">
        <f t="shared" si="260"/>
        <v>81430.960794489089</v>
      </c>
      <c r="Y675" s="231">
        <f t="shared" si="261"/>
        <v>0</v>
      </c>
      <c r="Z675" s="232">
        <f t="shared" si="262"/>
        <v>62738.850378874849</v>
      </c>
      <c r="AA675" s="22">
        <f t="shared" si="259"/>
        <v>0</v>
      </c>
      <c r="AB675" s="424">
        <f t="shared" si="263"/>
        <v>0</v>
      </c>
      <c r="AC675" s="424">
        <f t="shared" si="264"/>
        <v>0</v>
      </c>
    </row>
    <row r="676" spans="1:29" s="275" customFormat="1" ht="14.25" customHeight="1" x14ac:dyDescent="0.25">
      <c r="A676" s="272"/>
      <c r="B676" s="276"/>
      <c r="C676" s="266"/>
      <c r="D676" s="354" t="s">
        <v>605</v>
      </c>
      <c r="E676" s="457"/>
      <c r="F676" s="268">
        <v>75.2</v>
      </c>
      <c r="G676" s="278"/>
      <c r="H676" s="151"/>
      <c r="I676" s="151"/>
      <c r="J676" s="151"/>
      <c r="K676" s="269"/>
      <c r="L676" s="269"/>
      <c r="M676" s="269"/>
      <c r="N676" s="268"/>
      <c r="O676" s="268"/>
      <c r="P676" s="315"/>
      <c r="Q676" s="269"/>
      <c r="R676" s="270">
        <f t="shared" si="265"/>
        <v>207692.90805051662</v>
      </c>
      <c r="S676" s="274">
        <f t="shared" si="266"/>
        <v>117310.50290700345</v>
      </c>
      <c r="T676" s="443">
        <f t="shared" si="267"/>
        <v>116946.1602020666</v>
      </c>
      <c r="U676" s="445"/>
      <c r="V676" s="443">
        <f t="shared" si="256"/>
        <v>90746.747848450017</v>
      </c>
      <c r="W676" s="295">
        <f t="shared" si="268"/>
        <v>90382.40514351317</v>
      </c>
      <c r="X676" s="231">
        <f t="shared" si="260"/>
        <v>117310.50290700345</v>
      </c>
      <c r="Y676" s="231">
        <f t="shared" si="261"/>
        <v>0</v>
      </c>
      <c r="Z676" s="232">
        <f t="shared" si="262"/>
        <v>90382.40514351317</v>
      </c>
      <c r="AA676" s="22">
        <f t="shared" si="259"/>
        <v>0</v>
      </c>
      <c r="AB676" s="424">
        <f t="shared" si="263"/>
        <v>0</v>
      </c>
      <c r="AC676" s="424">
        <f t="shared" si="264"/>
        <v>0</v>
      </c>
    </row>
    <row r="677" spans="1:29" s="275" customFormat="1" ht="14.25" customHeight="1" x14ac:dyDescent="0.25">
      <c r="A677" s="272"/>
      <c r="B677" s="276"/>
      <c r="C677" s="266"/>
      <c r="D677" s="354" t="s">
        <v>542</v>
      </c>
      <c r="E677" s="457"/>
      <c r="F677" s="268">
        <v>53.3</v>
      </c>
      <c r="G677" s="278"/>
      <c r="H677" s="151"/>
      <c r="I677" s="151"/>
      <c r="J677" s="151"/>
      <c r="K677" s="269"/>
      <c r="L677" s="269"/>
      <c r="M677" s="269"/>
      <c r="N677" s="268"/>
      <c r="O677" s="268"/>
      <c r="P677" s="315"/>
      <c r="Q677" s="269"/>
      <c r="R677" s="270">
        <f t="shared" si="265"/>
        <v>147207.87232835818</v>
      </c>
      <c r="S677" s="274">
        <f t="shared" si="266"/>
        <v>83146.938895522384</v>
      </c>
      <c r="T677" s="443">
        <f t="shared" si="267"/>
        <v>82888.701313432844</v>
      </c>
      <c r="U677" s="445"/>
      <c r="V677" s="443">
        <f t="shared" si="256"/>
        <v>64319.171014925334</v>
      </c>
      <c r="W677" s="295">
        <f t="shared" si="268"/>
        <v>64060.933432835795</v>
      </c>
      <c r="X677" s="231">
        <f t="shared" si="260"/>
        <v>83146.938895522384</v>
      </c>
      <c r="Y677" s="231">
        <f t="shared" si="261"/>
        <v>0</v>
      </c>
      <c r="Z677" s="232">
        <f t="shared" si="262"/>
        <v>64060.933432835795</v>
      </c>
      <c r="AA677" s="22">
        <f t="shared" si="259"/>
        <v>0</v>
      </c>
      <c r="AB677" s="424">
        <f t="shared" si="263"/>
        <v>0</v>
      </c>
      <c r="AC677" s="424">
        <f t="shared" si="264"/>
        <v>0</v>
      </c>
    </row>
    <row r="678" spans="1:29" s="275" customFormat="1" ht="14.25" customHeight="1" x14ac:dyDescent="0.25">
      <c r="A678" s="272"/>
      <c r="B678" s="276"/>
      <c r="C678" s="266"/>
      <c r="D678" s="354" t="s">
        <v>606</v>
      </c>
      <c r="E678" s="457"/>
      <c r="F678" s="268">
        <v>52.2</v>
      </c>
      <c r="G678" s="278"/>
      <c r="H678" s="151"/>
      <c r="I678" s="151"/>
      <c r="J678" s="151"/>
      <c r="K678" s="269"/>
      <c r="L678" s="269"/>
      <c r="M678" s="269"/>
      <c r="N678" s="268"/>
      <c r="O678" s="268"/>
      <c r="P678" s="315"/>
      <c r="Q678" s="269"/>
      <c r="R678" s="270">
        <f t="shared" si="265"/>
        <v>144169.81117336394</v>
      </c>
      <c r="S678" s="274">
        <f t="shared" si="266"/>
        <v>81430.960794489089</v>
      </c>
      <c r="T678" s="443">
        <f t="shared" si="267"/>
        <v>81178.052693455815</v>
      </c>
      <c r="U678" s="445"/>
      <c r="V678" s="443">
        <f t="shared" si="256"/>
        <v>62991.758479908123</v>
      </c>
      <c r="W678" s="295">
        <f t="shared" si="268"/>
        <v>62738.850378874849</v>
      </c>
      <c r="X678" s="231">
        <f t="shared" si="260"/>
        <v>81430.960794489089</v>
      </c>
      <c r="Y678" s="231">
        <f t="shared" si="261"/>
        <v>0</v>
      </c>
      <c r="Z678" s="232">
        <f t="shared" si="262"/>
        <v>62738.850378874849</v>
      </c>
      <c r="AA678" s="22">
        <f t="shared" si="259"/>
        <v>0</v>
      </c>
      <c r="AB678" s="424">
        <f t="shared" si="263"/>
        <v>0</v>
      </c>
      <c r="AC678" s="424">
        <f t="shared" si="264"/>
        <v>0</v>
      </c>
    </row>
    <row r="679" spans="1:29" s="275" customFormat="1" ht="14.25" customHeight="1" x14ac:dyDescent="0.25">
      <c r="A679" s="340"/>
      <c r="B679" s="293"/>
      <c r="C679" s="341"/>
      <c r="D679" s="293"/>
      <c r="E679" s="470"/>
      <c r="F679" s="342"/>
      <c r="G679" s="343"/>
      <c r="H679" s="344"/>
      <c r="I679" s="344"/>
      <c r="J679" s="344"/>
      <c r="K679" s="345"/>
      <c r="L679" s="345"/>
      <c r="M679" s="345"/>
      <c r="N679" s="342"/>
      <c r="O679" s="342"/>
      <c r="P679" s="350"/>
      <c r="Q679" s="345"/>
      <c r="R679" s="346"/>
      <c r="S679" s="322"/>
      <c r="T679" s="443"/>
      <c r="U679" s="445"/>
      <c r="V679" s="443"/>
      <c r="W679" s="322"/>
      <c r="X679" s="231">
        <f t="shared" si="260"/>
        <v>0</v>
      </c>
      <c r="Y679" s="231">
        <f t="shared" si="261"/>
        <v>0</v>
      </c>
      <c r="Z679" s="232">
        <f t="shared" si="262"/>
        <v>0</v>
      </c>
      <c r="AA679" s="22">
        <f t="shared" si="259"/>
        <v>0</v>
      </c>
      <c r="AB679" s="424">
        <f t="shared" si="263"/>
        <v>0</v>
      </c>
      <c r="AC679" s="424">
        <f t="shared" si="264"/>
        <v>0</v>
      </c>
    </row>
    <row r="680" spans="1:29" s="306" customFormat="1" ht="14.25" customHeight="1" x14ac:dyDescent="0.25">
      <c r="A680" s="313">
        <f>SUM(A670+1)</f>
        <v>157</v>
      </c>
      <c r="B680" s="307" t="s">
        <v>271</v>
      </c>
      <c r="C680" s="348">
        <v>547</v>
      </c>
      <c r="D680" s="307" t="s">
        <v>240</v>
      </c>
      <c r="E680" s="320">
        <v>2</v>
      </c>
      <c r="F680" s="321">
        <f>F682+F683</f>
        <v>43.1</v>
      </c>
      <c r="G680" s="339">
        <v>1900</v>
      </c>
      <c r="H680" s="310">
        <f>SUM(Лист1!G180)</f>
        <v>642468.44999999995</v>
      </c>
      <c r="I680" s="310">
        <f>SUM(Лист1!H180)</f>
        <v>127993.58</v>
      </c>
      <c r="J680" s="310">
        <f>SUM(Лист1!I180)</f>
        <v>1812.92</v>
      </c>
      <c r="K680" s="311"/>
      <c r="L680" s="311"/>
      <c r="M680" s="311"/>
      <c r="N680" s="308">
        <v>1157.3499999999999</v>
      </c>
      <c r="O680" s="319">
        <v>698.93</v>
      </c>
      <c r="P680" s="319">
        <v>4.8</v>
      </c>
      <c r="Q680" s="311"/>
      <c r="R680" s="237">
        <f>SUM(H680+N680)</f>
        <v>643625.79999999993</v>
      </c>
      <c r="S680" s="231">
        <f>SUM(I680+O680-J680)</f>
        <v>126879.59</v>
      </c>
      <c r="T680" s="443">
        <f>S680-3*U680</f>
        <v>121426.43</v>
      </c>
      <c r="U680" s="445">
        <f t="shared" si="255"/>
        <v>1817.72</v>
      </c>
      <c r="V680" s="443">
        <f t="shared" si="256"/>
        <v>522199.36999999994</v>
      </c>
      <c r="W680" s="312">
        <f t="shared" si="181"/>
        <v>516746.20999999996</v>
      </c>
      <c r="X680" s="231">
        <f t="shared" si="260"/>
        <v>125061.87</v>
      </c>
      <c r="Y680" s="231">
        <f t="shared" si="261"/>
        <v>1817.72</v>
      </c>
      <c r="Z680" s="232">
        <f t="shared" si="262"/>
        <v>518563.92999999993</v>
      </c>
      <c r="AA680" s="22">
        <f t="shared" si="259"/>
        <v>0</v>
      </c>
      <c r="AB680" s="424">
        <f t="shared" si="263"/>
        <v>1.1368683772161603E-12</v>
      </c>
      <c r="AC680" s="424">
        <f t="shared" si="264"/>
        <v>0</v>
      </c>
    </row>
    <row r="681" spans="1:29" s="275" customFormat="1" ht="14.25" customHeight="1" x14ac:dyDescent="0.25">
      <c r="A681" s="272"/>
      <c r="B681" s="276"/>
      <c r="C681" s="266"/>
      <c r="D681" s="353" t="s">
        <v>518</v>
      </c>
      <c r="E681" s="267"/>
      <c r="F681" s="277"/>
      <c r="G681" s="278"/>
      <c r="H681" s="151"/>
      <c r="I681" s="151"/>
      <c r="J681" s="151"/>
      <c r="K681" s="269"/>
      <c r="L681" s="269"/>
      <c r="M681" s="269"/>
      <c r="N681" s="268"/>
      <c r="O681" s="315"/>
      <c r="P681" s="315"/>
      <c r="Q681" s="269"/>
      <c r="R681" s="274"/>
      <c r="S681" s="274"/>
      <c r="T681" s="443"/>
      <c r="U681" s="445"/>
      <c r="V681" s="443"/>
      <c r="W681" s="295"/>
      <c r="X681" s="231">
        <f t="shared" si="260"/>
        <v>0</v>
      </c>
      <c r="Y681" s="231">
        <f t="shared" si="261"/>
        <v>0</v>
      </c>
      <c r="Z681" s="232">
        <f t="shared" si="262"/>
        <v>0</v>
      </c>
      <c r="AA681" s="22">
        <f t="shared" si="259"/>
        <v>0</v>
      </c>
      <c r="AB681" s="424">
        <f t="shared" si="263"/>
        <v>0</v>
      </c>
      <c r="AC681" s="424">
        <f t="shared" si="264"/>
        <v>0</v>
      </c>
    </row>
    <row r="682" spans="1:29" s="275" customFormat="1" ht="14.25" customHeight="1" x14ac:dyDescent="0.25">
      <c r="A682" s="272"/>
      <c r="B682" s="276"/>
      <c r="C682" s="266"/>
      <c r="D682" s="354"/>
      <c r="E682" s="267"/>
      <c r="F682" s="277"/>
      <c r="G682" s="278"/>
      <c r="H682" s="151"/>
      <c r="I682" s="151"/>
      <c r="J682" s="151"/>
      <c r="K682" s="269"/>
      <c r="L682" s="269"/>
      <c r="M682" s="269"/>
      <c r="N682" s="268"/>
      <c r="O682" s="315"/>
      <c r="P682" s="315"/>
      <c r="Q682" s="269"/>
      <c r="R682" s="274"/>
      <c r="S682" s="274"/>
      <c r="T682" s="443"/>
      <c r="U682" s="445"/>
      <c r="V682" s="443"/>
      <c r="W682" s="295">
        <f>W680/F680*F682</f>
        <v>0</v>
      </c>
      <c r="X682" s="231">
        <f t="shared" si="260"/>
        <v>0</v>
      </c>
      <c r="Y682" s="231">
        <f t="shared" si="261"/>
        <v>0</v>
      </c>
      <c r="Z682" s="232">
        <f t="shared" si="262"/>
        <v>0</v>
      </c>
      <c r="AA682" s="22">
        <f t="shared" si="259"/>
        <v>0</v>
      </c>
      <c r="AB682" s="424">
        <f t="shared" si="263"/>
        <v>0</v>
      </c>
      <c r="AC682" s="424">
        <f t="shared" si="264"/>
        <v>0</v>
      </c>
    </row>
    <row r="683" spans="1:29" s="275" customFormat="1" ht="14.25" customHeight="1" x14ac:dyDescent="0.25">
      <c r="A683" s="272"/>
      <c r="B683" s="276"/>
      <c r="C683" s="266"/>
      <c r="D683" s="354" t="s">
        <v>597</v>
      </c>
      <c r="E683" s="267"/>
      <c r="F683" s="277">
        <v>43.1</v>
      </c>
      <c r="G683" s="278"/>
      <c r="H683" s="151"/>
      <c r="I683" s="151"/>
      <c r="J683" s="151"/>
      <c r="K683" s="269"/>
      <c r="L683" s="269"/>
      <c r="M683" s="269"/>
      <c r="N683" s="268"/>
      <c r="O683" s="315"/>
      <c r="P683" s="315"/>
      <c r="Q683" s="269"/>
      <c r="R683" s="274">
        <f>$R$680/$F$680*F683</f>
        <v>643625.79999999993</v>
      </c>
      <c r="S683" s="274">
        <f>S680/F680*F683</f>
        <v>126879.59</v>
      </c>
      <c r="T683" s="443">
        <f>$T$680/$F$680*F683</f>
        <v>121426.43</v>
      </c>
      <c r="U683" s="445"/>
      <c r="V683" s="443">
        <f t="shared" si="256"/>
        <v>522199.36999999994</v>
      </c>
      <c r="W683" s="295">
        <f>W680/F680*F683</f>
        <v>516746.20999999996</v>
      </c>
      <c r="X683" s="231">
        <f t="shared" si="260"/>
        <v>126879.59</v>
      </c>
      <c r="Y683" s="231">
        <f t="shared" si="261"/>
        <v>0</v>
      </c>
      <c r="Z683" s="232">
        <f t="shared" si="262"/>
        <v>516746.20999999996</v>
      </c>
      <c r="AA683" s="22">
        <f t="shared" si="259"/>
        <v>0</v>
      </c>
      <c r="AB683" s="424">
        <f t="shared" si="263"/>
        <v>0</v>
      </c>
      <c r="AC683" s="424">
        <f t="shared" si="264"/>
        <v>0</v>
      </c>
    </row>
    <row r="684" spans="1:29" s="275" customFormat="1" ht="14.25" customHeight="1" x14ac:dyDescent="0.25">
      <c r="A684" s="340"/>
      <c r="B684" s="293"/>
      <c r="C684" s="341"/>
      <c r="D684" s="293"/>
      <c r="E684" s="294"/>
      <c r="F684" s="355"/>
      <c r="G684" s="343"/>
      <c r="H684" s="344"/>
      <c r="I684" s="344"/>
      <c r="J684" s="344"/>
      <c r="K684" s="345"/>
      <c r="L684" s="345"/>
      <c r="M684" s="345"/>
      <c r="N684" s="342"/>
      <c r="O684" s="350"/>
      <c r="P684" s="350"/>
      <c r="Q684" s="345"/>
      <c r="R684" s="322"/>
      <c r="S684" s="322"/>
      <c r="T684" s="443"/>
      <c r="U684" s="445"/>
      <c r="V684" s="443"/>
      <c r="W684" s="347"/>
      <c r="X684" s="231">
        <f t="shared" si="260"/>
        <v>0</v>
      </c>
      <c r="Y684" s="231">
        <f t="shared" si="261"/>
        <v>0</v>
      </c>
      <c r="Z684" s="232">
        <f t="shared" si="262"/>
        <v>0</v>
      </c>
      <c r="AA684" s="22">
        <f t="shared" si="259"/>
        <v>0</v>
      </c>
      <c r="AB684" s="424">
        <f t="shared" si="263"/>
        <v>0</v>
      </c>
      <c r="AC684" s="424">
        <f t="shared" si="264"/>
        <v>0</v>
      </c>
    </row>
    <row r="685" spans="1:29" s="306" customFormat="1" ht="14.25" customHeight="1" x14ac:dyDescent="0.25">
      <c r="A685" s="313">
        <f>SUM(A680+1)</f>
        <v>158</v>
      </c>
      <c r="B685" s="307" t="s">
        <v>272</v>
      </c>
      <c r="C685" s="348">
        <v>548</v>
      </c>
      <c r="D685" s="307" t="s">
        <v>240</v>
      </c>
      <c r="E685" s="469">
        <v>3</v>
      </c>
      <c r="F685" s="321">
        <f>F687+F688+F689+F690+F692+F691+F693</f>
        <v>277.2</v>
      </c>
      <c r="G685" s="339">
        <v>2001</v>
      </c>
      <c r="H685" s="310">
        <f>SUM(Лист1!G181)</f>
        <v>2229954.9500000002</v>
      </c>
      <c r="I685" s="310">
        <f>SUM(Лист1!H181)</f>
        <v>1664048.92</v>
      </c>
      <c r="J685" s="310">
        <f>SUM(Лист1!I181)</f>
        <v>1688.36</v>
      </c>
      <c r="K685" s="311"/>
      <c r="L685" s="311"/>
      <c r="M685" s="311"/>
      <c r="N685" s="311"/>
      <c r="O685" s="311"/>
      <c r="P685" s="311"/>
      <c r="Q685" s="311"/>
      <c r="R685" s="314">
        <f t="shared" si="205"/>
        <v>2229954.9500000002</v>
      </c>
      <c r="S685" s="231">
        <f>SUM(I685+O685-J685)</f>
        <v>1662360.5599999998</v>
      </c>
      <c r="T685" s="443">
        <f>S685-3*U685</f>
        <v>1657295.4799999997</v>
      </c>
      <c r="U685" s="445">
        <f t="shared" si="255"/>
        <v>1688.36</v>
      </c>
      <c r="V685" s="443">
        <f t="shared" si="256"/>
        <v>572659.47000000044</v>
      </c>
      <c r="W685" s="312">
        <f t="shared" si="181"/>
        <v>567594.39000000036</v>
      </c>
      <c r="X685" s="231">
        <f t="shared" si="260"/>
        <v>1660672.1999999997</v>
      </c>
      <c r="Y685" s="231">
        <f t="shared" si="261"/>
        <v>1688.36</v>
      </c>
      <c r="Z685" s="232">
        <f t="shared" si="262"/>
        <v>569282.75000000035</v>
      </c>
      <c r="AA685" s="22">
        <f t="shared" si="259"/>
        <v>0</v>
      </c>
      <c r="AB685" s="424">
        <f t="shared" si="263"/>
        <v>1.0254552762489766E-10</v>
      </c>
      <c r="AC685" s="424">
        <f t="shared" si="264"/>
        <v>1.1641532182693481E-10</v>
      </c>
    </row>
    <row r="686" spans="1:29" s="275" customFormat="1" ht="14.25" customHeight="1" x14ac:dyDescent="0.25">
      <c r="A686" s="272"/>
      <c r="B686" s="276"/>
      <c r="C686" s="266"/>
      <c r="D686" s="353" t="s">
        <v>518</v>
      </c>
      <c r="E686" s="457"/>
      <c r="F686" s="277"/>
      <c r="G686" s="278"/>
      <c r="H686" s="151"/>
      <c r="I686" s="151"/>
      <c r="J686" s="151"/>
      <c r="K686" s="269"/>
      <c r="L686" s="269"/>
      <c r="M686" s="269"/>
      <c r="N686" s="269"/>
      <c r="O686" s="269"/>
      <c r="P686" s="269"/>
      <c r="Q686" s="269"/>
      <c r="R686" s="274"/>
      <c r="S686" s="274"/>
      <c r="T686" s="443"/>
      <c r="U686" s="445"/>
      <c r="V686" s="443"/>
      <c r="W686" s="295"/>
      <c r="X686" s="231">
        <f t="shared" si="260"/>
        <v>0</v>
      </c>
      <c r="Y686" s="231">
        <f t="shared" si="261"/>
        <v>0</v>
      </c>
      <c r="Z686" s="232">
        <f t="shared" si="262"/>
        <v>0</v>
      </c>
      <c r="AA686" s="22">
        <f t="shared" si="259"/>
        <v>0</v>
      </c>
      <c r="AB686" s="424">
        <f t="shared" si="263"/>
        <v>0</v>
      </c>
      <c r="AC686" s="424">
        <f t="shared" si="264"/>
        <v>0</v>
      </c>
    </row>
    <row r="687" spans="1:29" s="275" customFormat="1" ht="14.25" customHeight="1" x14ac:dyDescent="0.25">
      <c r="A687" s="272"/>
      <c r="B687" s="276"/>
      <c r="C687" s="266"/>
      <c r="D687" s="488"/>
      <c r="E687" s="457"/>
      <c r="F687" s="277"/>
      <c r="G687" s="278"/>
      <c r="H687" s="151"/>
      <c r="I687" s="151"/>
      <c r="J687" s="151"/>
      <c r="K687" s="269"/>
      <c r="L687" s="269"/>
      <c r="M687" s="269"/>
      <c r="N687" s="269"/>
      <c r="O687" s="269"/>
      <c r="P687" s="269"/>
      <c r="Q687" s="269"/>
      <c r="R687" s="274"/>
      <c r="S687" s="274"/>
      <c r="T687" s="443"/>
      <c r="U687" s="445"/>
      <c r="V687" s="443"/>
      <c r="W687" s="295">
        <f>SUM(R687-S687)</f>
        <v>0</v>
      </c>
      <c r="X687" s="231">
        <f t="shared" si="260"/>
        <v>0</v>
      </c>
      <c r="Y687" s="231">
        <f t="shared" si="261"/>
        <v>0</v>
      </c>
      <c r="Z687" s="232">
        <f t="shared" si="262"/>
        <v>0</v>
      </c>
      <c r="AA687" s="22">
        <f t="shared" si="259"/>
        <v>0</v>
      </c>
      <c r="AB687" s="424">
        <f t="shared" si="263"/>
        <v>0</v>
      </c>
      <c r="AC687" s="424">
        <f t="shared" si="264"/>
        <v>0</v>
      </c>
    </row>
    <row r="688" spans="1:29" s="275" customFormat="1" ht="14.25" customHeight="1" x14ac:dyDescent="0.25">
      <c r="A688" s="272"/>
      <c r="B688" s="276"/>
      <c r="C688" s="266"/>
      <c r="D688" s="488" t="s">
        <v>510</v>
      </c>
      <c r="E688" s="457"/>
      <c r="F688" s="277">
        <v>51.1</v>
      </c>
      <c r="G688" s="278"/>
      <c r="H688" s="151">
        <v>189763.22207542957</v>
      </c>
      <c r="I688" s="151">
        <v>64534.251580004486</v>
      </c>
      <c r="J688" s="151"/>
      <c r="K688" s="269"/>
      <c r="L688" s="269"/>
      <c r="M688" s="269"/>
      <c r="N688" s="269"/>
      <c r="O688" s="269"/>
      <c r="P688" s="269"/>
      <c r="Q688" s="269"/>
      <c r="R688" s="274">
        <f t="shared" ref="R688:R693" si="269">$R$685/$F$685*F688</f>
        <v>411077.55391414143</v>
      </c>
      <c r="S688" s="274">
        <f t="shared" ref="S688:S693" si="270">ROUND((1662360.56/448.1*F688),2)</f>
        <v>189570.69</v>
      </c>
      <c r="T688" s="443">
        <f t="shared" ref="T688:T693" si="271">$T$685/$F$685*F688</f>
        <v>305511.54050505045</v>
      </c>
      <c r="U688" s="445"/>
      <c r="V688" s="443">
        <f t="shared" si="256"/>
        <v>105566.01340909099</v>
      </c>
      <c r="W688" s="295">
        <f t="shared" ref="W688:W693" si="272">SUM(R688-S688)</f>
        <v>221506.86391414143</v>
      </c>
      <c r="X688" s="231">
        <f t="shared" si="260"/>
        <v>189570.69</v>
      </c>
      <c r="Y688" s="231">
        <f t="shared" si="261"/>
        <v>0</v>
      </c>
      <c r="Z688" s="232">
        <f t="shared" si="262"/>
        <v>221506.86391414143</v>
      </c>
      <c r="AA688" s="22">
        <f t="shared" si="259"/>
        <v>0</v>
      </c>
      <c r="AB688" s="424">
        <f t="shared" si="263"/>
        <v>0</v>
      </c>
      <c r="AC688" s="424">
        <f t="shared" si="264"/>
        <v>0</v>
      </c>
    </row>
    <row r="689" spans="1:29" s="275" customFormat="1" ht="14.25" customHeight="1" x14ac:dyDescent="0.25">
      <c r="A689" s="272"/>
      <c r="B689" s="276"/>
      <c r="C689" s="266"/>
      <c r="D689" s="488"/>
      <c r="E689" s="457"/>
      <c r="F689" s="277"/>
      <c r="G689" s="278"/>
      <c r="H689" s="151"/>
      <c r="I689" s="151"/>
      <c r="J689" s="151"/>
      <c r="K689" s="269"/>
      <c r="L689" s="269"/>
      <c r="M689" s="269"/>
      <c r="N689" s="269"/>
      <c r="O689" s="269"/>
      <c r="P689" s="269"/>
      <c r="Q689" s="269"/>
      <c r="R689" s="274"/>
      <c r="S689" s="274"/>
      <c r="T689" s="443"/>
      <c r="U689" s="445"/>
      <c r="V689" s="443"/>
      <c r="W689" s="295">
        <f t="shared" si="272"/>
        <v>0</v>
      </c>
      <c r="X689" s="231">
        <f t="shared" si="260"/>
        <v>0</v>
      </c>
      <c r="Y689" s="231">
        <f t="shared" si="261"/>
        <v>0</v>
      </c>
      <c r="Z689" s="232">
        <f t="shared" si="262"/>
        <v>0</v>
      </c>
      <c r="AA689" s="22">
        <f t="shared" si="259"/>
        <v>0</v>
      </c>
      <c r="AB689" s="424">
        <f t="shared" si="263"/>
        <v>0</v>
      </c>
      <c r="AC689" s="424">
        <f t="shared" si="264"/>
        <v>0</v>
      </c>
    </row>
    <row r="690" spans="1:29" s="275" customFormat="1" ht="14.25" customHeight="1" x14ac:dyDescent="0.25">
      <c r="A690" s="272"/>
      <c r="B690" s="276"/>
      <c r="C690" s="266"/>
      <c r="D690" s="488" t="s">
        <v>562</v>
      </c>
      <c r="E690" s="457"/>
      <c r="F690" s="277">
        <v>37.700000000000003</v>
      </c>
      <c r="G690" s="278"/>
      <c r="H690" s="151">
        <v>140001.43781298818</v>
      </c>
      <c r="I690" s="151">
        <v>47611.375431823275</v>
      </c>
      <c r="J690" s="151"/>
      <c r="K690" s="269"/>
      <c r="L690" s="269"/>
      <c r="M690" s="269"/>
      <c r="N690" s="269"/>
      <c r="O690" s="269"/>
      <c r="P690" s="269"/>
      <c r="Q690" s="269"/>
      <c r="R690" s="274">
        <f t="shared" si="269"/>
        <v>303280.30885642138</v>
      </c>
      <c r="S690" s="274">
        <f t="shared" si="270"/>
        <v>139859.39000000001</v>
      </c>
      <c r="T690" s="443">
        <f t="shared" si="271"/>
        <v>225396.96823953823</v>
      </c>
      <c r="U690" s="445"/>
      <c r="V690" s="443">
        <f t="shared" si="256"/>
        <v>77883.340616883157</v>
      </c>
      <c r="W690" s="295">
        <f t="shared" si="272"/>
        <v>163420.91885642137</v>
      </c>
      <c r="X690" s="231">
        <f t="shared" si="260"/>
        <v>139859.39000000001</v>
      </c>
      <c r="Y690" s="231">
        <f t="shared" si="261"/>
        <v>0</v>
      </c>
      <c r="Z690" s="232">
        <f t="shared" si="262"/>
        <v>163420.91885642137</v>
      </c>
      <c r="AA690" s="22">
        <f t="shared" si="259"/>
        <v>0</v>
      </c>
      <c r="AB690" s="424">
        <f t="shared" si="263"/>
        <v>0</v>
      </c>
      <c r="AC690" s="424">
        <f t="shared" si="264"/>
        <v>0</v>
      </c>
    </row>
    <row r="691" spans="1:29" s="275" customFormat="1" ht="14.25" customHeight="1" x14ac:dyDescent="0.25">
      <c r="A691" s="272"/>
      <c r="B691" s="276"/>
      <c r="C691" s="266"/>
      <c r="D691" s="488" t="s">
        <v>601</v>
      </c>
      <c r="E691" s="457"/>
      <c r="F691" s="277">
        <v>66.7</v>
      </c>
      <c r="G691" s="278"/>
      <c r="H691" s="151">
        <v>247694.85151528675</v>
      </c>
      <c r="I691" s="151">
        <v>84235.510379379644</v>
      </c>
      <c r="J691" s="151"/>
      <c r="K691" s="269"/>
      <c r="L691" s="269"/>
      <c r="M691" s="269"/>
      <c r="N691" s="269"/>
      <c r="O691" s="269"/>
      <c r="P691" s="269"/>
      <c r="Q691" s="269"/>
      <c r="R691" s="274">
        <f t="shared" si="269"/>
        <v>536572.85413059173</v>
      </c>
      <c r="S691" s="274">
        <f t="shared" si="270"/>
        <v>247443.54</v>
      </c>
      <c r="T691" s="443">
        <f t="shared" si="271"/>
        <v>398779.25150072144</v>
      </c>
      <c r="U691" s="445"/>
      <c r="V691" s="443">
        <f t="shared" si="256"/>
        <v>137793.60262987029</v>
      </c>
      <c r="W691" s="295">
        <f t="shared" si="272"/>
        <v>289129.31413059169</v>
      </c>
      <c r="X691" s="231">
        <f t="shared" si="260"/>
        <v>247443.54</v>
      </c>
      <c r="Y691" s="231">
        <f t="shared" si="261"/>
        <v>0</v>
      </c>
      <c r="Z691" s="232">
        <f t="shared" si="262"/>
        <v>289129.31413059169</v>
      </c>
      <c r="AA691" s="22">
        <f t="shared" si="259"/>
        <v>0</v>
      </c>
      <c r="AB691" s="424">
        <f t="shared" si="263"/>
        <v>0</v>
      </c>
      <c r="AC691" s="424">
        <f t="shared" si="264"/>
        <v>0</v>
      </c>
    </row>
    <row r="692" spans="1:29" s="275" customFormat="1" ht="14.25" customHeight="1" x14ac:dyDescent="0.25">
      <c r="A692" s="272"/>
      <c r="B692" s="276"/>
      <c r="C692" s="266"/>
      <c r="D692" s="488" t="s">
        <v>521</v>
      </c>
      <c r="E692" s="457"/>
      <c r="F692" s="277">
        <v>50.5</v>
      </c>
      <c r="G692" s="278"/>
      <c r="H692" s="151">
        <v>187535.08248158891</v>
      </c>
      <c r="I692" s="151">
        <v>63776.510856951594</v>
      </c>
      <c r="J692" s="151"/>
      <c r="K692" s="269"/>
      <c r="L692" s="269"/>
      <c r="M692" s="269"/>
      <c r="N692" s="269"/>
      <c r="O692" s="269"/>
      <c r="P692" s="269"/>
      <c r="Q692" s="269"/>
      <c r="R692" s="274">
        <f t="shared" si="269"/>
        <v>406250.81159812416</v>
      </c>
      <c r="S692" s="274">
        <f t="shared" si="270"/>
        <v>187344.81</v>
      </c>
      <c r="T692" s="443">
        <f t="shared" si="271"/>
        <v>301924.32085137081</v>
      </c>
      <c r="U692" s="445"/>
      <c r="V692" s="443">
        <f t="shared" si="256"/>
        <v>104326.49074675335</v>
      </c>
      <c r="W692" s="295">
        <f t="shared" si="272"/>
        <v>218906.00159812416</v>
      </c>
      <c r="X692" s="231">
        <f t="shared" si="260"/>
        <v>187344.81</v>
      </c>
      <c r="Y692" s="231">
        <f t="shared" si="261"/>
        <v>0</v>
      </c>
      <c r="Z692" s="232">
        <f t="shared" si="262"/>
        <v>218906.00159812416</v>
      </c>
      <c r="AA692" s="22">
        <f t="shared" si="259"/>
        <v>0</v>
      </c>
      <c r="AB692" s="424">
        <f t="shared" si="263"/>
        <v>0</v>
      </c>
      <c r="AC692" s="424">
        <f t="shared" si="264"/>
        <v>0</v>
      </c>
    </row>
    <row r="693" spans="1:29" s="275" customFormat="1" ht="14.25" customHeight="1" x14ac:dyDescent="0.25">
      <c r="A693" s="272"/>
      <c r="B693" s="276"/>
      <c r="C693" s="266"/>
      <c r="D693" s="488" t="s">
        <v>545</v>
      </c>
      <c r="E693" s="457"/>
      <c r="F693" s="277">
        <v>71.2</v>
      </c>
      <c r="G693" s="278"/>
      <c r="H693" s="151">
        <v>264405.89846909168</v>
      </c>
      <c r="I693" s="151">
        <v>89918.565802276309</v>
      </c>
      <c r="J693" s="151"/>
      <c r="K693" s="269"/>
      <c r="L693" s="269"/>
      <c r="M693" s="269"/>
      <c r="N693" s="269"/>
      <c r="O693" s="269"/>
      <c r="P693" s="269"/>
      <c r="Q693" s="269"/>
      <c r="R693" s="274">
        <f t="shared" si="269"/>
        <v>572773.4215007216</v>
      </c>
      <c r="S693" s="274">
        <f t="shared" si="270"/>
        <v>264137.63</v>
      </c>
      <c r="T693" s="443">
        <f t="shared" si="271"/>
        <v>425683.39890331886</v>
      </c>
      <c r="U693" s="445"/>
      <c r="V693" s="443">
        <f t="shared" si="256"/>
        <v>147090.02259740274</v>
      </c>
      <c r="W693" s="295">
        <f t="shared" si="272"/>
        <v>308635.79150072159</v>
      </c>
      <c r="X693" s="231">
        <f t="shared" si="260"/>
        <v>264137.63</v>
      </c>
      <c r="Y693" s="231">
        <f t="shared" si="261"/>
        <v>0</v>
      </c>
      <c r="Z693" s="232">
        <f t="shared" si="262"/>
        <v>308635.79150072159</v>
      </c>
      <c r="AA693" s="22">
        <f t="shared" si="259"/>
        <v>0</v>
      </c>
      <c r="AB693" s="424">
        <f t="shared" si="263"/>
        <v>0</v>
      </c>
      <c r="AC693" s="424">
        <f t="shared" si="264"/>
        <v>0</v>
      </c>
    </row>
    <row r="694" spans="1:29" s="275" customFormat="1" ht="14.25" customHeight="1" x14ac:dyDescent="0.25">
      <c r="A694" s="340"/>
      <c r="B694" s="293"/>
      <c r="C694" s="341"/>
      <c r="D694" s="293"/>
      <c r="E694" s="470"/>
      <c r="F694" s="355"/>
      <c r="G694" s="343"/>
      <c r="H694" s="344"/>
      <c r="I694" s="344"/>
      <c r="J694" s="344"/>
      <c r="K694" s="345"/>
      <c r="L694" s="345"/>
      <c r="M694" s="345"/>
      <c r="N694" s="345"/>
      <c r="O694" s="345"/>
      <c r="P694" s="345"/>
      <c r="Q694" s="345"/>
      <c r="R694" s="322"/>
      <c r="S694" s="322"/>
      <c r="T694" s="443"/>
      <c r="U694" s="445"/>
      <c r="V694" s="443"/>
      <c r="W694" s="322"/>
      <c r="X694" s="231">
        <f t="shared" si="260"/>
        <v>0</v>
      </c>
      <c r="Y694" s="231">
        <f t="shared" si="261"/>
        <v>0</v>
      </c>
      <c r="Z694" s="232">
        <f t="shared" si="262"/>
        <v>0</v>
      </c>
      <c r="AA694" s="22">
        <f t="shared" si="259"/>
        <v>0</v>
      </c>
      <c r="AB694" s="424">
        <f t="shared" si="263"/>
        <v>0</v>
      </c>
      <c r="AC694" s="424">
        <f t="shared" si="264"/>
        <v>0</v>
      </c>
    </row>
    <row r="695" spans="1:29" s="306" customFormat="1" ht="14.25" customHeight="1" x14ac:dyDescent="0.25">
      <c r="A695" s="313">
        <f t="shared" ref="A695" si="273">SUM(A685+1)</f>
        <v>159</v>
      </c>
      <c r="B695" s="307" t="s">
        <v>273</v>
      </c>
      <c r="C695" s="348">
        <v>549</v>
      </c>
      <c r="D695" s="307" t="s">
        <v>261</v>
      </c>
      <c r="E695" s="465" t="s">
        <v>274</v>
      </c>
      <c r="F695" s="321">
        <f>F697+F698+F699+F700+F701+F702+F703+F704+F705+F706+F707+F708+F709+F710+F711+F712+F713</f>
        <v>466.3</v>
      </c>
      <c r="G695" s="339">
        <v>2005</v>
      </c>
      <c r="H695" s="310">
        <f>SUM(Лист1!G182)</f>
        <v>568761.84</v>
      </c>
      <c r="I695" s="310">
        <f>SUM(Лист1!H182)</f>
        <v>446340.96</v>
      </c>
      <c r="J695" s="310">
        <f>SUM(Лист1!I182)</f>
        <v>429.38</v>
      </c>
      <c r="K695" s="310">
        <f>SUM(Лист1!J182)</f>
        <v>0</v>
      </c>
      <c r="L695" s="310">
        <f>SUM(Лист1!K182)</f>
        <v>0</v>
      </c>
      <c r="M695" s="310">
        <f>SUM(Лист1!L182)</f>
        <v>0</v>
      </c>
      <c r="N695" s="311"/>
      <c r="O695" s="311"/>
      <c r="P695" s="311"/>
      <c r="Q695" s="311"/>
      <c r="R695" s="314">
        <f>SUM(H695+N695)</f>
        <v>568761.84</v>
      </c>
      <c r="S695" s="231">
        <f>SUM(I695+O695-J695)</f>
        <v>445911.58</v>
      </c>
      <c r="T695" s="443">
        <f>S695-3*U695</f>
        <v>444623.44</v>
      </c>
      <c r="U695" s="445">
        <f t="shared" si="255"/>
        <v>429.38</v>
      </c>
      <c r="V695" s="443">
        <f t="shared" si="256"/>
        <v>124138.39999999997</v>
      </c>
      <c r="W695" s="312">
        <f t="shared" si="181"/>
        <v>122850.25999999995</v>
      </c>
      <c r="X695" s="231">
        <f t="shared" si="260"/>
        <v>445482.2</v>
      </c>
      <c r="Y695" s="231">
        <f t="shared" si="261"/>
        <v>429.38</v>
      </c>
      <c r="Z695" s="232">
        <f t="shared" si="262"/>
        <v>123279.63999999996</v>
      </c>
      <c r="AA695" s="22">
        <f t="shared" si="259"/>
        <v>0</v>
      </c>
      <c r="AB695" s="424">
        <f t="shared" si="263"/>
        <v>4.6611603465862572E-12</v>
      </c>
      <c r="AC695" s="424">
        <f t="shared" si="264"/>
        <v>0</v>
      </c>
    </row>
    <row r="696" spans="1:29" s="275" customFormat="1" ht="14.25" customHeight="1" x14ac:dyDescent="0.25">
      <c r="A696" s="272"/>
      <c r="B696" s="276"/>
      <c r="C696" s="266"/>
      <c r="D696" s="353" t="s">
        <v>518</v>
      </c>
      <c r="E696" s="473"/>
      <c r="F696" s="277"/>
      <c r="G696" s="278"/>
      <c r="H696" s="151"/>
      <c r="I696" s="151"/>
      <c r="J696" s="151"/>
      <c r="K696" s="151"/>
      <c r="L696" s="151"/>
      <c r="M696" s="151"/>
      <c r="N696" s="269"/>
      <c r="O696" s="269"/>
      <c r="P696" s="269"/>
      <c r="Q696" s="269"/>
      <c r="R696" s="274"/>
      <c r="S696" s="274"/>
      <c r="T696" s="443"/>
      <c r="U696" s="445"/>
      <c r="V696" s="443"/>
      <c r="W696" s="295"/>
      <c r="X696" s="231">
        <f t="shared" si="260"/>
        <v>0</v>
      </c>
      <c r="Y696" s="231">
        <f t="shared" si="261"/>
        <v>0</v>
      </c>
      <c r="Z696" s="232">
        <f t="shared" si="262"/>
        <v>0</v>
      </c>
      <c r="AA696" s="22">
        <f t="shared" si="259"/>
        <v>0</v>
      </c>
      <c r="AB696" s="424">
        <f t="shared" si="263"/>
        <v>0</v>
      </c>
      <c r="AC696" s="424">
        <f t="shared" si="264"/>
        <v>0</v>
      </c>
    </row>
    <row r="697" spans="1:29" s="275" customFormat="1" ht="14.25" customHeight="1" x14ac:dyDescent="0.25">
      <c r="A697" s="272"/>
      <c r="B697" s="276"/>
      <c r="C697" s="266"/>
      <c r="D697" s="488" t="s">
        <v>531</v>
      </c>
      <c r="E697" s="473"/>
      <c r="F697" s="391">
        <v>34.299999999999997</v>
      </c>
      <c r="G697" s="278"/>
      <c r="H697" s="151"/>
      <c r="I697" s="151"/>
      <c r="J697" s="151"/>
      <c r="K697" s="151"/>
      <c r="L697" s="151"/>
      <c r="M697" s="151"/>
      <c r="N697" s="269"/>
      <c r="O697" s="269"/>
      <c r="P697" s="269"/>
      <c r="Q697" s="269"/>
      <c r="R697" s="274">
        <f>$R$695/$F$695*F697</f>
        <v>41836.867064121805</v>
      </c>
      <c r="S697" s="274">
        <f>ROUND((445911.58/563.4*F697),2)</f>
        <v>27147.26</v>
      </c>
      <c r="T697" s="443">
        <f>$T$695/$F$695*F697</f>
        <v>32705.520034312671</v>
      </c>
      <c r="U697" s="445"/>
      <c r="V697" s="443">
        <f t="shared" si="256"/>
        <v>9131.3470298091343</v>
      </c>
      <c r="W697" s="295">
        <f>SUM(-S697+R697)</f>
        <v>14689.607064121807</v>
      </c>
      <c r="X697" s="231">
        <f t="shared" si="260"/>
        <v>27147.26</v>
      </c>
      <c r="Y697" s="231">
        <f t="shared" si="261"/>
        <v>0</v>
      </c>
      <c r="Z697" s="232">
        <f t="shared" si="262"/>
        <v>14689.607064121807</v>
      </c>
      <c r="AA697" s="22">
        <f t="shared" si="259"/>
        <v>0</v>
      </c>
      <c r="AB697" s="424">
        <f t="shared" si="263"/>
        <v>0</v>
      </c>
      <c r="AC697" s="424">
        <f t="shared" si="264"/>
        <v>0</v>
      </c>
    </row>
    <row r="698" spans="1:29" s="275" customFormat="1" ht="14.25" customHeight="1" x14ac:dyDescent="0.25">
      <c r="A698" s="272"/>
      <c r="B698" s="276"/>
      <c r="C698" s="266"/>
      <c r="D698" s="488" t="s">
        <v>523</v>
      </c>
      <c r="E698" s="473"/>
      <c r="F698" s="391">
        <v>47.1</v>
      </c>
      <c r="G698" s="278"/>
      <c r="H698" s="151"/>
      <c r="I698" s="151"/>
      <c r="J698" s="151"/>
      <c r="K698" s="151"/>
      <c r="L698" s="151"/>
      <c r="M698" s="151"/>
      <c r="N698" s="269"/>
      <c r="O698" s="269"/>
      <c r="P698" s="269"/>
      <c r="Q698" s="269"/>
      <c r="R698" s="274">
        <f t="shared" ref="R698:R712" si="274">$R$695/$F$695*F698</f>
        <v>57449.458854814497</v>
      </c>
      <c r="S698" s="274">
        <f t="shared" ref="S698:S712" si="275">ROUND((445911.58/563.4*F698),2)</f>
        <v>37278.019999999997</v>
      </c>
      <c r="T698" s="443">
        <f t="shared" ref="T698:T712" si="276">$T$695/$F$695*F698</f>
        <v>44910.495440703409</v>
      </c>
      <c r="U698" s="445"/>
      <c r="V698" s="443">
        <f t="shared" si="256"/>
        <v>12538.963414111087</v>
      </c>
      <c r="W698" s="295">
        <f t="shared" ref="W698:W712" si="277">SUM(-S698+R698)</f>
        <v>20171.4388548145</v>
      </c>
      <c r="X698" s="231">
        <f t="shared" si="260"/>
        <v>37278.019999999997</v>
      </c>
      <c r="Y698" s="231">
        <f t="shared" si="261"/>
        <v>0</v>
      </c>
      <c r="Z698" s="232">
        <f t="shared" si="262"/>
        <v>20171.4388548145</v>
      </c>
      <c r="AA698" s="22">
        <f t="shared" si="259"/>
        <v>0</v>
      </c>
      <c r="AB698" s="424">
        <f t="shared" si="263"/>
        <v>0</v>
      </c>
      <c r="AC698" s="424">
        <f t="shared" si="264"/>
        <v>0</v>
      </c>
    </row>
    <row r="699" spans="1:29" s="275" customFormat="1" ht="14.25" customHeight="1" x14ac:dyDescent="0.25">
      <c r="A699" s="272"/>
      <c r="B699" s="276"/>
      <c r="C699" s="266"/>
      <c r="D699" s="488" t="s">
        <v>567</v>
      </c>
      <c r="E699" s="473"/>
      <c r="F699" s="391">
        <v>34.799999999999997</v>
      </c>
      <c r="G699" s="278"/>
      <c r="H699" s="151"/>
      <c r="I699" s="151"/>
      <c r="J699" s="151"/>
      <c r="K699" s="151"/>
      <c r="L699" s="151"/>
      <c r="M699" s="151"/>
      <c r="N699" s="269"/>
      <c r="O699" s="269"/>
      <c r="P699" s="269"/>
      <c r="Q699" s="269"/>
      <c r="R699" s="274">
        <f t="shared" si="274"/>
        <v>42446.733930945738</v>
      </c>
      <c r="S699" s="274">
        <f t="shared" si="275"/>
        <v>27542.99</v>
      </c>
      <c r="T699" s="443">
        <f t="shared" si="276"/>
        <v>33182.276886124811</v>
      </c>
      <c r="U699" s="445"/>
      <c r="V699" s="443">
        <f t="shared" si="256"/>
        <v>9264.457044820927</v>
      </c>
      <c r="W699" s="295">
        <f t="shared" si="277"/>
        <v>14903.743930945737</v>
      </c>
      <c r="X699" s="231">
        <f t="shared" si="260"/>
        <v>27542.99</v>
      </c>
      <c r="Y699" s="231">
        <f t="shared" si="261"/>
        <v>0</v>
      </c>
      <c r="Z699" s="232">
        <f t="shared" si="262"/>
        <v>14903.743930945737</v>
      </c>
      <c r="AA699" s="22">
        <f t="shared" si="259"/>
        <v>0</v>
      </c>
      <c r="AB699" s="424">
        <f t="shared" si="263"/>
        <v>0</v>
      </c>
      <c r="AC699" s="424">
        <f t="shared" si="264"/>
        <v>0</v>
      </c>
    </row>
    <row r="700" spans="1:29" s="275" customFormat="1" ht="14.25" customHeight="1" x14ac:dyDescent="0.25">
      <c r="A700" s="272"/>
      <c r="B700" s="276"/>
      <c r="C700" s="266"/>
      <c r="D700" s="488" t="s">
        <v>566</v>
      </c>
      <c r="E700" s="473"/>
      <c r="F700" s="391">
        <v>23</v>
      </c>
      <c r="G700" s="278"/>
      <c r="H700" s="151"/>
      <c r="I700" s="151"/>
      <c r="J700" s="151"/>
      <c r="K700" s="151"/>
      <c r="L700" s="151"/>
      <c r="M700" s="151"/>
      <c r="N700" s="269"/>
      <c r="O700" s="269"/>
      <c r="P700" s="269"/>
      <c r="Q700" s="269"/>
      <c r="R700" s="274">
        <f t="shared" si="274"/>
        <v>28053.875873900921</v>
      </c>
      <c r="S700" s="274">
        <f t="shared" si="275"/>
        <v>18203.7</v>
      </c>
      <c r="T700" s="443">
        <f t="shared" si="276"/>
        <v>21930.815183358354</v>
      </c>
      <c r="U700" s="445"/>
      <c r="V700" s="443">
        <f t="shared" si="256"/>
        <v>6123.0606905425666</v>
      </c>
      <c r="W700" s="295">
        <f t="shared" si="277"/>
        <v>9850.1758739009201</v>
      </c>
      <c r="X700" s="231">
        <f t="shared" si="260"/>
        <v>18203.7</v>
      </c>
      <c r="Y700" s="231">
        <f t="shared" si="261"/>
        <v>0</v>
      </c>
      <c r="Z700" s="232">
        <f t="shared" si="262"/>
        <v>9850.1758739009201</v>
      </c>
      <c r="AA700" s="22">
        <f t="shared" si="259"/>
        <v>0</v>
      </c>
      <c r="AB700" s="424">
        <f t="shared" si="263"/>
        <v>0</v>
      </c>
      <c r="AC700" s="424">
        <f t="shared" si="264"/>
        <v>0</v>
      </c>
    </row>
    <row r="701" spans="1:29" s="275" customFormat="1" ht="14.25" customHeight="1" x14ac:dyDescent="0.25">
      <c r="A701" s="272"/>
      <c r="B701" s="276"/>
      <c r="C701" s="266"/>
      <c r="D701" s="488" t="s">
        <v>555</v>
      </c>
      <c r="E701" s="473"/>
      <c r="F701" s="391">
        <v>22.9</v>
      </c>
      <c r="G701" s="278"/>
      <c r="H701" s="151"/>
      <c r="I701" s="151"/>
      <c r="J701" s="151"/>
      <c r="K701" s="151"/>
      <c r="L701" s="151"/>
      <c r="M701" s="151"/>
      <c r="N701" s="269"/>
      <c r="O701" s="269"/>
      <c r="P701" s="269"/>
      <c r="Q701" s="269"/>
      <c r="R701" s="274">
        <f t="shared" si="274"/>
        <v>27931.902500536133</v>
      </c>
      <c r="S701" s="274">
        <f t="shared" si="275"/>
        <v>18124.560000000001</v>
      </c>
      <c r="T701" s="443">
        <f t="shared" si="276"/>
        <v>21835.463812995924</v>
      </c>
      <c r="U701" s="445"/>
      <c r="V701" s="443">
        <f t="shared" si="256"/>
        <v>6096.4386875402088</v>
      </c>
      <c r="W701" s="295">
        <f t="shared" si="277"/>
        <v>9807.3425005361314</v>
      </c>
      <c r="X701" s="231">
        <f t="shared" si="260"/>
        <v>18124.560000000001</v>
      </c>
      <c r="Y701" s="231">
        <f t="shared" si="261"/>
        <v>0</v>
      </c>
      <c r="Z701" s="232">
        <f t="shared" si="262"/>
        <v>9807.3425005361314</v>
      </c>
      <c r="AA701" s="22">
        <f t="shared" si="259"/>
        <v>0</v>
      </c>
      <c r="AB701" s="424">
        <f t="shared" si="263"/>
        <v>0</v>
      </c>
      <c r="AC701" s="424">
        <f t="shared" si="264"/>
        <v>0</v>
      </c>
    </row>
    <row r="702" spans="1:29" s="275" customFormat="1" ht="14.25" customHeight="1" x14ac:dyDescent="0.25">
      <c r="A702" s="272"/>
      <c r="B702" s="276"/>
      <c r="C702" s="266"/>
      <c r="D702" s="488" t="s">
        <v>588</v>
      </c>
      <c r="E702" s="473"/>
      <c r="F702" s="391">
        <v>31.7</v>
      </c>
      <c r="G702" s="278"/>
      <c r="H702" s="151"/>
      <c r="I702" s="151"/>
      <c r="J702" s="151"/>
      <c r="K702" s="151"/>
      <c r="L702" s="151"/>
      <c r="M702" s="151"/>
      <c r="N702" s="269"/>
      <c r="O702" s="269"/>
      <c r="P702" s="269"/>
      <c r="Q702" s="269"/>
      <c r="R702" s="274">
        <f t="shared" si="274"/>
        <v>38665.559356637357</v>
      </c>
      <c r="S702" s="274">
        <f t="shared" si="275"/>
        <v>25089.45</v>
      </c>
      <c r="T702" s="443">
        <f t="shared" si="276"/>
        <v>30226.384404889555</v>
      </c>
      <c r="U702" s="445"/>
      <c r="V702" s="443">
        <f t="shared" si="256"/>
        <v>8439.174951747802</v>
      </c>
      <c r="W702" s="295">
        <f t="shared" si="277"/>
        <v>13576.109356637357</v>
      </c>
      <c r="X702" s="231">
        <f t="shared" si="260"/>
        <v>25089.45</v>
      </c>
      <c r="Y702" s="231">
        <f t="shared" si="261"/>
        <v>0</v>
      </c>
      <c r="Z702" s="232">
        <f t="shared" si="262"/>
        <v>13576.109356637357</v>
      </c>
      <c r="AA702" s="22">
        <f t="shared" si="259"/>
        <v>0</v>
      </c>
      <c r="AB702" s="424">
        <f t="shared" si="263"/>
        <v>0</v>
      </c>
      <c r="AC702" s="424">
        <f t="shared" si="264"/>
        <v>0</v>
      </c>
    </row>
    <row r="703" spans="1:29" s="275" customFormat="1" ht="14.25" hidden="1" customHeight="1" x14ac:dyDescent="0.25">
      <c r="A703" s="272"/>
      <c r="B703" s="276"/>
      <c r="C703" s="266"/>
      <c r="D703" s="488"/>
      <c r="E703" s="473"/>
      <c r="F703" s="391"/>
      <c r="G703" s="278"/>
      <c r="H703" s="151"/>
      <c r="I703" s="151"/>
      <c r="J703" s="151"/>
      <c r="K703" s="151"/>
      <c r="L703" s="151"/>
      <c r="M703" s="151"/>
      <c r="N703" s="269"/>
      <c r="O703" s="269"/>
      <c r="P703" s="269"/>
      <c r="Q703" s="269"/>
      <c r="R703" s="274"/>
      <c r="S703" s="274"/>
      <c r="T703" s="443"/>
      <c r="U703" s="445"/>
      <c r="V703" s="443"/>
      <c r="W703" s="295"/>
      <c r="X703" s="231"/>
      <c r="Y703" s="231"/>
      <c r="Z703" s="232"/>
      <c r="AA703" s="22"/>
      <c r="AB703" s="424"/>
      <c r="AC703" s="424"/>
    </row>
    <row r="704" spans="1:29" s="275" customFormat="1" ht="14.25" hidden="1" customHeight="1" x14ac:dyDescent="0.25">
      <c r="A704" s="272"/>
      <c r="B704" s="276"/>
      <c r="C704" s="266"/>
      <c r="D704" s="488"/>
      <c r="E704" s="473"/>
      <c r="F704" s="391"/>
      <c r="G704" s="278"/>
      <c r="H704" s="151"/>
      <c r="I704" s="151"/>
      <c r="J704" s="151"/>
      <c r="K704" s="151"/>
      <c r="L704" s="151"/>
      <c r="M704" s="151"/>
      <c r="N704" s="269"/>
      <c r="O704" s="269"/>
      <c r="P704" s="269"/>
      <c r="Q704" s="269"/>
      <c r="R704" s="274"/>
      <c r="S704" s="274"/>
      <c r="T704" s="443"/>
      <c r="U704" s="445"/>
      <c r="V704" s="443"/>
      <c r="W704" s="295"/>
      <c r="X704" s="231"/>
      <c r="Y704" s="231"/>
      <c r="Z704" s="232"/>
      <c r="AA704" s="22"/>
      <c r="AB704" s="424"/>
      <c r="AC704" s="424"/>
    </row>
    <row r="705" spans="1:29" s="275" customFormat="1" ht="14.25" customHeight="1" x14ac:dyDescent="0.25">
      <c r="A705" s="272"/>
      <c r="B705" s="276"/>
      <c r="C705" s="266"/>
      <c r="D705" s="488" t="s">
        <v>538</v>
      </c>
      <c r="E705" s="473"/>
      <c r="F705" s="391">
        <v>54.5</v>
      </c>
      <c r="G705" s="278"/>
      <c r="H705" s="151"/>
      <c r="I705" s="151"/>
      <c r="J705" s="151"/>
      <c r="K705" s="151"/>
      <c r="L705" s="151"/>
      <c r="M705" s="151"/>
      <c r="N705" s="269"/>
      <c r="O705" s="269"/>
      <c r="P705" s="269"/>
      <c r="Q705" s="269"/>
      <c r="R705" s="274">
        <f t="shared" si="274"/>
        <v>66475.488483808702</v>
      </c>
      <c r="S705" s="274">
        <f t="shared" si="275"/>
        <v>43134.86</v>
      </c>
      <c r="T705" s="443">
        <f t="shared" si="276"/>
        <v>51966.496847523056</v>
      </c>
      <c r="U705" s="445"/>
      <c r="V705" s="443">
        <f t="shared" si="256"/>
        <v>14508.991636285646</v>
      </c>
      <c r="W705" s="295">
        <f t="shared" si="277"/>
        <v>23340.628483808701</v>
      </c>
      <c r="X705" s="231">
        <f t="shared" si="260"/>
        <v>43134.86</v>
      </c>
      <c r="Y705" s="231">
        <f t="shared" si="261"/>
        <v>0</v>
      </c>
      <c r="Z705" s="232">
        <f t="shared" si="262"/>
        <v>23340.628483808701</v>
      </c>
      <c r="AA705" s="22">
        <f t="shared" si="259"/>
        <v>0</v>
      </c>
      <c r="AB705" s="424">
        <f t="shared" si="263"/>
        <v>0</v>
      </c>
      <c r="AC705" s="424">
        <f t="shared" si="264"/>
        <v>0</v>
      </c>
    </row>
    <row r="706" spans="1:29" s="275" customFormat="1" ht="14.25" customHeight="1" x14ac:dyDescent="0.25">
      <c r="A706" s="272"/>
      <c r="B706" s="276"/>
      <c r="C706" s="266"/>
      <c r="D706" s="488" t="s">
        <v>607</v>
      </c>
      <c r="E706" s="473"/>
      <c r="F706" s="391">
        <v>41.6</v>
      </c>
      <c r="G706" s="278"/>
      <c r="H706" s="151"/>
      <c r="I706" s="151"/>
      <c r="J706" s="151"/>
      <c r="K706" s="151"/>
      <c r="L706" s="151"/>
      <c r="M706" s="151"/>
      <c r="N706" s="269"/>
      <c r="O706" s="269"/>
      <c r="P706" s="269"/>
      <c r="Q706" s="269"/>
      <c r="R706" s="274">
        <f t="shared" si="274"/>
        <v>50740.923319751229</v>
      </c>
      <c r="S706" s="274">
        <f t="shared" si="275"/>
        <v>32924.959999999999</v>
      </c>
      <c r="T706" s="443">
        <f t="shared" si="276"/>
        <v>39666.170070769891</v>
      </c>
      <c r="U706" s="445"/>
      <c r="V706" s="443">
        <f t="shared" si="256"/>
        <v>11074.753248981338</v>
      </c>
      <c r="W706" s="295">
        <f t="shared" si="277"/>
        <v>17815.96331975123</v>
      </c>
      <c r="X706" s="231">
        <f t="shared" si="260"/>
        <v>32924.959999999999</v>
      </c>
      <c r="Y706" s="231">
        <f t="shared" si="261"/>
        <v>0</v>
      </c>
      <c r="Z706" s="232">
        <f t="shared" si="262"/>
        <v>17815.96331975123</v>
      </c>
      <c r="AA706" s="22">
        <f t="shared" si="259"/>
        <v>0</v>
      </c>
      <c r="AB706" s="424">
        <f t="shared" si="263"/>
        <v>0</v>
      </c>
      <c r="AC706" s="424">
        <f t="shared" si="264"/>
        <v>0</v>
      </c>
    </row>
    <row r="707" spans="1:29" s="385" customFormat="1" ht="14.25" customHeight="1" x14ac:dyDescent="0.25">
      <c r="A707" s="386"/>
      <c r="B707" s="390"/>
      <c r="C707" s="384"/>
      <c r="D707" s="488" t="s">
        <v>608</v>
      </c>
      <c r="E707" s="475"/>
      <c r="F707" s="391">
        <v>25.1</v>
      </c>
      <c r="G707" s="393"/>
      <c r="H707" s="584"/>
      <c r="I707" s="584"/>
      <c r="J707" s="584"/>
      <c r="K707" s="584"/>
      <c r="L707" s="584"/>
      <c r="M707" s="584"/>
      <c r="N707" s="584"/>
      <c r="O707" s="584"/>
      <c r="P707" s="584"/>
      <c r="Q707" s="584"/>
      <c r="R707" s="274">
        <f t="shared" si="274"/>
        <v>30615.316714561439</v>
      </c>
      <c r="S707" s="274">
        <f t="shared" si="275"/>
        <v>19865.78</v>
      </c>
      <c r="T707" s="443">
        <f t="shared" si="276"/>
        <v>23933.193960969333</v>
      </c>
      <c r="U707" s="445"/>
      <c r="V707" s="443">
        <f t="shared" si="256"/>
        <v>6682.1227535921062</v>
      </c>
      <c r="W707" s="295">
        <f t="shared" si="277"/>
        <v>10749.53671456144</v>
      </c>
      <c r="X707" s="231">
        <f t="shared" si="260"/>
        <v>19865.78</v>
      </c>
      <c r="Y707" s="231">
        <f t="shared" si="261"/>
        <v>0</v>
      </c>
      <c r="Z707" s="232">
        <f t="shared" si="262"/>
        <v>10749.53671456144</v>
      </c>
      <c r="AA707" s="22">
        <f t="shared" si="259"/>
        <v>0</v>
      </c>
      <c r="AB707" s="424">
        <f t="shared" si="263"/>
        <v>0</v>
      </c>
      <c r="AC707" s="424">
        <f t="shared" si="264"/>
        <v>0</v>
      </c>
    </row>
    <row r="708" spans="1:29" s="275" customFormat="1" ht="14.25" customHeight="1" x14ac:dyDescent="0.25">
      <c r="A708" s="387"/>
      <c r="B708" s="296"/>
      <c r="C708" s="273"/>
      <c r="D708" s="488" t="s">
        <v>549</v>
      </c>
      <c r="E708" s="476"/>
      <c r="F708" s="391">
        <v>22.8</v>
      </c>
      <c r="G708" s="296"/>
      <c r="H708" s="269"/>
      <c r="I708" s="269"/>
      <c r="J708" s="269"/>
      <c r="K708" s="269"/>
      <c r="L708" s="269"/>
      <c r="M708" s="269"/>
      <c r="N708" s="269"/>
      <c r="O708" s="269"/>
      <c r="P708" s="269"/>
      <c r="Q708" s="269"/>
      <c r="R708" s="274">
        <f t="shared" si="274"/>
        <v>27809.929127171348</v>
      </c>
      <c r="S708" s="274">
        <f t="shared" si="275"/>
        <v>18045.41</v>
      </c>
      <c r="T708" s="443">
        <f t="shared" si="276"/>
        <v>21740.112442633497</v>
      </c>
      <c r="U708" s="445"/>
      <c r="V708" s="443">
        <f t="shared" si="256"/>
        <v>6069.816684537851</v>
      </c>
      <c r="W708" s="295">
        <f t="shared" si="277"/>
        <v>9764.5191271713484</v>
      </c>
      <c r="X708" s="231">
        <f t="shared" si="260"/>
        <v>18045.41</v>
      </c>
      <c r="Y708" s="231">
        <f t="shared" si="261"/>
        <v>0</v>
      </c>
      <c r="Z708" s="232">
        <f t="shared" si="262"/>
        <v>9764.5191271713484</v>
      </c>
      <c r="AA708" s="22">
        <f t="shared" si="259"/>
        <v>0</v>
      </c>
      <c r="AB708" s="424">
        <f t="shared" si="263"/>
        <v>0</v>
      </c>
      <c r="AC708" s="424">
        <f t="shared" si="264"/>
        <v>0</v>
      </c>
    </row>
    <row r="709" spans="1:29" s="275" customFormat="1" ht="14.25" customHeight="1" x14ac:dyDescent="0.25">
      <c r="A709" s="387"/>
      <c r="B709" s="296"/>
      <c r="C709" s="273"/>
      <c r="D709" s="488" t="s">
        <v>550</v>
      </c>
      <c r="E709" s="476"/>
      <c r="F709" s="391">
        <v>33.700000000000003</v>
      </c>
      <c r="G709" s="296"/>
      <c r="H709" s="269"/>
      <c r="I709" s="269"/>
      <c r="J709" s="269"/>
      <c r="K709" s="269"/>
      <c r="L709" s="269"/>
      <c r="M709" s="269"/>
      <c r="N709" s="151" t="e">
        <f>SUM(Лист2!Q96-житло!#REF!)</f>
        <v>#REF!</v>
      </c>
      <c r="O709" s="151" t="e">
        <f>SUM(Лист2!R96-житло!#REF!)</f>
        <v>#REF!</v>
      </c>
      <c r="P709" s="151" t="e">
        <f>SUM(Лист2!S96-житло!#REF!)</f>
        <v>#REF!</v>
      </c>
      <c r="Q709" s="151" t="e">
        <f>SUM(Лист2!T96-житло!#REF!)</f>
        <v>#REF!</v>
      </c>
      <c r="R709" s="274">
        <f t="shared" si="274"/>
        <v>41105.026823933091</v>
      </c>
      <c r="S709" s="274">
        <f t="shared" si="275"/>
        <v>26672.38</v>
      </c>
      <c r="T709" s="443">
        <f t="shared" si="276"/>
        <v>32133.411812138111</v>
      </c>
      <c r="U709" s="445"/>
      <c r="V709" s="443">
        <f t="shared" si="256"/>
        <v>8971.6150117949801</v>
      </c>
      <c r="W709" s="295">
        <f t="shared" si="277"/>
        <v>14432.64682393309</v>
      </c>
      <c r="X709" s="231">
        <f t="shared" si="260"/>
        <v>26672.38</v>
      </c>
      <c r="Y709" s="231">
        <f t="shared" si="261"/>
        <v>0</v>
      </c>
      <c r="Z709" s="232">
        <f t="shared" si="262"/>
        <v>14432.64682393309</v>
      </c>
      <c r="AA709" s="22">
        <f t="shared" si="259"/>
        <v>0</v>
      </c>
      <c r="AB709" s="424">
        <f t="shared" si="263"/>
        <v>0</v>
      </c>
      <c r="AC709" s="424">
        <f t="shared" si="264"/>
        <v>0</v>
      </c>
    </row>
    <row r="710" spans="1:29" s="275" customFormat="1" ht="14.25" customHeight="1" x14ac:dyDescent="0.25">
      <c r="A710" s="387"/>
      <c r="B710" s="296"/>
      <c r="C710" s="273"/>
      <c r="D710" s="488" t="s">
        <v>528</v>
      </c>
      <c r="E710" s="476"/>
      <c r="F710" s="391">
        <v>42.7</v>
      </c>
      <c r="G710" s="296"/>
      <c r="H710" s="269"/>
      <c r="I710" s="269"/>
      <c r="J710" s="269"/>
      <c r="K710" s="269"/>
      <c r="L710" s="269"/>
      <c r="M710" s="269"/>
      <c r="N710" s="269" t="s">
        <v>21</v>
      </c>
      <c r="O710" s="269"/>
      <c r="P710" s="269"/>
      <c r="Q710" s="269"/>
      <c r="R710" s="274">
        <f t="shared" si="274"/>
        <v>52082.630426763884</v>
      </c>
      <c r="S710" s="274">
        <f t="shared" si="275"/>
        <v>33795.57</v>
      </c>
      <c r="T710" s="443">
        <f t="shared" si="276"/>
        <v>40715.035144756599</v>
      </c>
      <c r="U710" s="445"/>
      <c r="V710" s="443">
        <f t="shared" si="256"/>
        <v>11367.595282007285</v>
      </c>
      <c r="W710" s="295">
        <f t="shared" si="277"/>
        <v>18287.060426763885</v>
      </c>
      <c r="X710" s="231">
        <f t="shared" si="260"/>
        <v>33795.57</v>
      </c>
      <c r="Y710" s="231">
        <f t="shared" si="261"/>
        <v>0</v>
      </c>
      <c r="Z710" s="232">
        <f t="shared" si="262"/>
        <v>18287.060426763885</v>
      </c>
      <c r="AA710" s="22">
        <f t="shared" si="259"/>
        <v>0</v>
      </c>
      <c r="AB710" s="424">
        <f t="shared" si="263"/>
        <v>0</v>
      </c>
      <c r="AC710" s="424">
        <f t="shared" si="264"/>
        <v>0</v>
      </c>
    </row>
    <row r="711" spans="1:29" ht="14.25" customHeight="1" x14ac:dyDescent="0.25">
      <c r="A711" s="172"/>
      <c r="B711" s="161"/>
      <c r="C711" s="164"/>
      <c r="D711" s="488" t="s">
        <v>513</v>
      </c>
      <c r="E711" s="168"/>
      <c r="F711" s="391">
        <v>22.8</v>
      </c>
      <c r="G711" s="161"/>
      <c r="H711" s="149"/>
      <c r="I711" s="149"/>
      <c r="J711" s="149"/>
      <c r="K711" s="149"/>
      <c r="L711" s="149"/>
      <c r="M711" s="149"/>
      <c r="N711" s="149"/>
      <c r="O711" s="149"/>
      <c r="P711" s="149"/>
      <c r="Q711" s="149"/>
      <c r="R711" s="274">
        <f t="shared" si="274"/>
        <v>27809.929127171348</v>
      </c>
      <c r="S711" s="274">
        <f t="shared" si="275"/>
        <v>18045.41</v>
      </c>
      <c r="T711" s="443">
        <f t="shared" si="276"/>
        <v>21740.112442633497</v>
      </c>
      <c r="U711" s="445"/>
      <c r="V711" s="443">
        <f t="shared" si="256"/>
        <v>6069.816684537851</v>
      </c>
      <c r="W711" s="295">
        <f t="shared" si="277"/>
        <v>9764.5191271713484</v>
      </c>
      <c r="X711" s="231">
        <f t="shared" si="260"/>
        <v>18045.41</v>
      </c>
      <c r="Y711" s="231">
        <f t="shared" si="261"/>
        <v>0</v>
      </c>
      <c r="Z711" s="232">
        <f t="shared" si="262"/>
        <v>9764.5191271713484</v>
      </c>
      <c r="AA711" s="22">
        <f t="shared" si="259"/>
        <v>0</v>
      </c>
      <c r="AB711" s="424">
        <f t="shared" si="263"/>
        <v>0</v>
      </c>
      <c r="AC711" s="424">
        <f t="shared" si="264"/>
        <v>0</v>
      </c>
    </row>
    <row r="712" spans="1:29" ht="14.25" customHeight="1" x14ac:dyDescent="0.25">
      <c r="A712" s="173"/>
      <c r="B712" s="162"/>
      <c r="C712" s="271"/>
      <c r="D712" s="585" t="s">
        <v>582</v>
      </c>
      <c r="E712" s="461"/>
      <c r="F712" s="586">
        <v>29.3</v>
      </c>
      <c r="G712" s="162"/>
      <c r="H712" s="171"/>
      <c r="I712" s="171"/>
      <c r="J712" s="171"/>
      <c r="K712" s="171"/>
      <c r="L712" s="171"/>
      <c r="M712" s="171"/>
      <c r="N712" s="171"/>
      <c r="O712" s="171"/>
      <c r="P712" s="171"/>
      <c r="Q712" s="171"/>
      <c r="R712" s="322">
        <f t="shared" si="274"/>
        <v>35738.198395882479</v>
      </c>
      <c r="S712" s="322">
        <f t="shared" si="275"/>
        <v>23189.93</v>
      </c>
      <c r="T712" s="443">
        <f t="shared" si="276"/>
        <v>27937.951516191293</v>
      </c>
      <c r="U712" s="451"/>
      <c r="V712" s="443">
        <f t="shared" si="256"/>
        <v>7800.2468796911853</v>
      </c>
      <c r="W712" s="295">
        <f t="shared" si="277"/>
        <v>12548.268395882478</v>
      </c>
      <c r="X712" s="231">
        <f t="shared" si="260"/>
        <v>23189.93</v>
      </c>
      <c r="Y712" s="231">
        <f t="shared" si="261"/>
        <v>0</v>
      </c>
      <c r="Z712" s="232">
        <f t="shared" si="262"/>
        <v>12548.268395882478</v>
      </c>
      <c r="AA712" s="22">
        <f t="shared" si="259"/>
        <v>0</v>
      </c>
      <c r="AB712" s="424">
        <f t="shared" si="263"/>
        <v>0</v>
      </c>
      <c r="AC712" s="424">
        <f t="shared" si="264"/>
        <v>0</v>
      </c>
    </row>
    <row r="713" spans="1:29" ht="14.25" hidden="1" customHeight="1" x14ac:dyDescent="0.25">
      <c r="A713" s="172"/>
      <c r="B713" s="161"/>
      <c r="C713" s="164"/>
      <c r="D713" s="488"/>
      <c r="E713" s="168"/>
      <c r="F713" s="391"/>
      <c r="G713" s="161"/>
      <c r="H713" s="149"/>
      <c r="I713" s="149"/>
      <c r="J713" s="149"/>
      <c r="K713" s="149"/>
      <c r="L713" s="149"/>
      <c r="M713" s="149"/>
      <c r="N713" s="149"/>
      <c r="O713" s="149"/>
      <c r="P713" s="149"/>
      <c r="Q713" s="149"/>
      <c r="R713" s="274"/>
      <c r="S713" s="274"/>
      <c r="T713" s="582"/>
      <c r="U713" s="583"/>
      <c r="V713" s="582"/>
      <c r="W713" s="295"/>
      <c r="X713" s="231"/>
      <c r="Y713" s="231"/>
      <c r="Z713" s="232"/>
      <c r="AA713" s="22"/>
      <c r="AB713" s="424"/>
      <c r="AC713" s="424"/>
    </row>
    <row r="714" spans="1:29" ht="14.25" hidden="1" customHeight="1" x14ac:dyDescent="0.25">
      <c r="A714" s="173"/>
      <c r="B714" s="162"/>
      <c r="C714" s="271"/>
      <c r="D714" s="162"/>
      <c r="E714" s="461"/>
      <c r="F714" s="392"/>
      <c r="G714" s="162"/>
      <c r="H714" s="171"/>
      <c r="I714" s="171"/>
      <c r="J714" s="171"/>
      <c r="K714" s="171"/>
      <c r="L714" s="171"/>
      <c r="M714" s="171"/>
      <c r="N714" s="171"/>
      <c r="O714" s="171"/>
      <c r="P714" s="171"/>
      <c r="Q714" s="171"/>
      <c r="R714" s="213"/>
      <c r="S714" s="213"/>
      <c r="T714" s="443"/>
      <c r="U714" s="443"/>
      <c r="V714" s="443"/>
      <c r="W714" s="213"/>
      <c r="X714" s="213">
        <f t="shared" si="260"/>
        <v>0</v>
      </c>
      <c r="Y714" s="231">
        <f t="shared" si="261"/>
        <v>0</v>
      </c>
      <c r="Z714" s="214"/>
      <c r="AA714" s="22">
        <f>SUM(U714-Y714)</f>
        <v>0</v>
      </c>
      <c r="AB714" s="424">
        <f t="shared" si="263"/>
        <v>0</v>
      </c>
    </row>
    <row r="715" spans="1:29" ht="14.25" customHeight="1" x14ac:dyDescent="0.25">
      <c r="A715" s="164"/>
      <c r="B715" s="164"/>
      <c r="C715" s="164"/>
      <c r="D715" s="164"/>
      <c r="E715" s="164"/>
      <c r="F715" s="587"/>
      <c r="G715" s="164"/>
      <c r="H715" s="149"/>
      <c r="I715" s="149"/>
      <c r="J715" s="149"/>
      <c r="K715" s="149"/>
      <c r="L715" s="149"/>
      <c r="M715" s="149"/>
      <c r="N715" s="149"/>
      <c r="O715" s="149"/>
      <c r="P715" s="149"/>
      <c r="Q715" s="149"/>
      <c r="R715" s="215"/>
      <c r="S715" s="215"/>
      <c r="T715" s="588"/>
      <c r="U715" s="588"/>
      <c r="V715" s="588"/>
      <c r="W715" s="215"/>
      <c r="X715" s="215"/>
      <c r="Y715" s="256"/>
      <c r="Z715" s="215"/>
      <c r="AA715" s="22"/>
      <c r="AB715" s="424"/>
    </row>
    <row r="716" spans="1:29" ht="14.25" customHeight="1" x14ac:dyDescent="0.25">
      <c r="A716" s="164"/>
      <c r="B716" s="164"/>
      <c r="C716" s="164"/>
      <c r="D716" s="164"/>
      <c r="E716" s="164"/>
      <c r="F716" s="587"/>
      <c r="G716" s="164"/>
      <c r="H716" s="149"/>
      <c r="I716" s="149"/>
      <c r="J716" s="149"/>
      <c r="K716" s="149"/>
      <c r="L716" s="149"/>
      <c r="M716" s="149"/>
      <c r="N716" s="149"/>
      <c r="O716" s="149"/>
      <c r="P716" s="149"/>
      <c r="Q716" s="149"/>
      <c r="R716" s="215"/>
      <c r="S716" s="215"/>
      <c r="T716" s="588"/>
      <c r="U716" s="588"/>
      <c r="V716" s="588"/>
      <c r="W716" s="215"/>
      <c r="X716" s="215"/>
      <c r="Y716" s="256"/>
      <c r="Z716" s="215"/>
      <c r="AA716" s="22"/>
      <c r="AB716" s="424"/>
    </row>
    <row r="718" spans="1:29" ht="14.25" customHeight="1" x14ac:dyDescent="0.3">
      <c r="A718" s="509" t="s">
        <v>619</v>
      </c>
      <c r="B718" s="509"/>
      <c r="C718" s="509" t="s">
        <v>619</v>
      </c>
      <c r="D718" s="509"/>
      <c r="E718" s="509"/>
      <c r="F718" s="510"/>
      <c r="G718" s="509"/>
      <c r="H718" s="511"/>
      <c r="I718" s="511"/>
      <c r="J718" s="511"/>
      <c r="K718" s="511"/>
      <c r="L718" s="511"/>
      <c r="M718" s="511"/>
      <c r="N718" s="511"/>
      <c r="O718" s="511"/>
      <c r="P718" s="511"/>
      <c r="Q718" s="511"/>
      <c r="R718" s="512"/>
      <c r="S718" s="512" t="s">
        <v>618</v>
      </c>
      <c r="T718" s="512" t="s">
        <v>618</v>
      </c>
    </row>
    <row r="719" spans="1:29" ht="14.25" customHeight="1" x14ac:dyDescent="0.25">
      <c r="R719" s="22"/>
    </row>
    <row r="720" spans="1:29" ht="14.25" customHeight="1" x14ac:dyDescent="0.25">
      <c r="D720" s="435"/>
      <c r="E720" s="434"/>
      <c r="R720" s="22"/>
    </row>
    <row r="722" spans="24:26" ht="14.25" customHeight="1" x14ac:dyDescent="0.25">
      <c r="X722" s="218" t="e">
        <f>SUM(#REF!-#REF!)</f>
        <v>#REF!</v>
      </c>
      <c r="Z722" s="218" t="e">
        <f>SUM(#REF!+#REF!)</f>
        <v>#REF!</v>
      </c>
    </row>
  </sheetData>
  <mergeCells count="10">
    <mergeCell ref="X10:X11"/>
    <mergeCell ref="Z10:Z11"/>
    <mergeCell ref="D10:E10"/>
    <mergeCell ref="K10:M10"/>
    <mergeCell ref="N4:O4"/>
    <mergeCell ref="W10:W11"/>
    <mergeCell ref="S10:S11"/>
    <mergeCell ref="V10:V11"/>
    <mergeCell ref="A6:V6"/>
    <mergeCell ref="A7:V7"/>
  </mergeCells>
  <pageMargins left="1" right="0.19" top="0.62" bottom="0.48" header="0.24" footer="0.19"/>
  <pageSetup paperSize="9" scale="80" orientation="portrait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topLeftCell="A7" workbookViewId="0">
      <selection activeCell="A19" sqref="A19:XFD20"/>
    </sheetView>
  </sheetViews>
  <sheetFormatPr defaultRowHeight="15" x14ac:dyDescent="0.25"/>
  <cols>
    <col min="1" max="1" width="3.85546875" customWidth="1"/>
    <col min="2" max="4" width="8.7109375" customWidth="1"/>
    <col min="5" max="5" width="11.85546875" customWidth="1"/>
    <col min="6" max="6" width="5" customWidth="1"/>
    <col min="7" max="7" width="11.5703125" hidden="1" customWidth="1"/>
    <col min="8" max="8" width="11.28515625" hidden="1" customWidth="1"/>
    <col min="9" max="16" width="9.140625" hidden="1" customWidth="1"/>
    <col min="17" max="17" width="11.7109375" customWidth="1"/>
    <col min="18" max="18" width="11" customWidth="1"/>
    <col min="19" max="19" width="9" customWidth="1"/>
    <col min="20" max="20" width="9.7109375" customWidth="1"/>
    <col min="21" max="21" width="11.42578125" bestFit="1" customWidth="1"/>
    <col min="22" max="22" width="10.85546875" customWidth="1"/>
    <col min="23" max="23" width="11.42578125" bestFit="1" customWidth="1"/>
    <col min="24" max="24" width="11.5703125" customWidth="1"/>
    <col min="26" max="26" width="10" bestFit="1" customWidth="1"/>
  </cols>
  <sheetData>
    <row r="1" spans="1:25" x14ac:dyDescent="0.25">
      <c r="A1" s="601" t="s">
        <v>0</v>
      </c>
      <c r="B1" s="601"/>
      <c r="C1" s="601"/>
      <c r="D1" s="601"/>
      <c r="E1" s="601"/>
      <c r="F1" s="601"/>
      <c r="G1" s="601"/>
      <c r="H1" s="60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25" x14ac:dyDescent="0.25">
      <c r="A2" s="41"/>
      <c r="B2" s="41"/>
      <c r="C2" s="41"/>
      <c r="D2" s="42" t="s">
        <v>1</v>
      </c>
      <c r="E2" s="62" t="s">
        <v>2</v>
      </c>
      <c r="F2" s="62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</row>
    <row r="3" spans="1:25" x14ac:dyDescent="0.25">
      <c r="A3" s="41"/>
      <c r="B3" s="41"/>
      <c r="C3" s="41"/>
      <c r="D3" s="602" t="s">
        <v>368</v>
      </c>
      <c r="E3" s="602"/>
      <c r="F3" s="60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25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</row>
    <row r="5" spans="1:25" x14ac:dyDescent="0.25">
      <c r="A5" s="43" t="s">
        <v>4</v>
      </c>
      <c r="B5" s="43" t="s">
        <v>5</v>
      </c>
      <c r="C5" s="44"/>
      <c r="D5" s="603" t="s">
        <v>6</v>
      </c>
      <c r="E5" s="603"/>
      <c r="F5" s="43" t="s">
        <v>7</v>
      </c>
      <c r="G5" s="43" t="s">
        <v>8</v>
      </c>
      <c r="H5" s="43" t="s">
        <v>9</v>
      </c>
      <c r="I5" s="43" t="s">
        <v>10</v>
      </c>
      <c r="J5" s="604" t="s">
        <v>11</v>
      </c>
      <c r="K5" s="604"/>
      <c r="L5" s="604"/>
      <c r="M5" s="43" t="s">
        <v>12</v>
      </c>
      <c r="N5" s="43" t="s">
        <v>12</v>
      </c>
      <c r="O5" s="43" t="s">
        <v>13</v>
      </c>
      <c r="P5" s="43" t="s">
        <v>13</v>
      </c>
      <c r="Q5" s="88" t="s">
        <v>450</v>
      </c>
      <c r="R5" s="88" t="s">
        <v>23</v>
      </c>
      <c r="S5" s="88" t="s">
        <v>367</v>
      </c>
      <c r="T5" s="90" t="s">
        <v>448</v>
      </c>
    </row>
    <row r="6" spans="1:25" x14ac:dyDescent="0.25">
      <c r="A6" s="45" t="s">
        <v>14</v>
      </c>
      <c r="B6" s="45" t="s">
        <v>15</v>
      </c>
      <c r="C6" s="45" t="s">
        <v>16</v>
      </c>
      <c r="D6" s="46" t="s">
        <v>17</v>
      </c>
      <c r="E6" s="47" t="s">
        <v>18</v>
      </c>
      <c r="F6" s="45" t="s">
        <v>19</v>
      </c>
      <c r="G6" s="45" t="s">
        <v>20</v>
      </c>
      <c r="H6" s="45" t="s">
        <v>20</v>
      </c>
      <c r="I6" s="45" t="s">
        <v>21</v>
      </c>
      <c r="J6" s="43" t="s">
        <v>22</v>
      </c>
      <c r="K6" s="43" t="s">
        <v>23</v>
      </c>
      <c r="L6" s="43" t="s">
        <v>10</v>
      </c>
      <c r="M6" s="45" t="s">
        <v>24</v>
      </c>
      <c r="N6" s="45" t="s">
        <v>25</v>
      </c>
      <c r="O6" s="45" t="s">
        <v>24</v>
      </c>
      <c r="P6" s="45" t="s">
        <v>25</v>
      </c>
      <c r="Q6" s="45" t="s">
        <v>26</v>
      </c>
      <c r="R6" s="45" t="s">
        <v>26</v>
      </c>
      <c r="S6" s="45"/>
      <c r="T6" s="91"/>
    </row>
    <row r="7" spans="1:25" x14ac:dyDescent="0.25">
      <c r="A7" s="48">
        <v>1</v>
      </c>
      <c r="B7" s="49" t="s">
        <v>369</v>
      </c>
      <c r="C7" s="50">
        <v>236</v>
      </c>
      <c r="D7" s="49" t="s">
        <v>37</v>
      </c>
      <c r="E7" s="51">
        <v>46</v>
      </c>
      <c r="F7" s="48">
        <v>1986</v>
      </c>
      <c r="G7" s="52">
        <v>7951</v>
      </c>
      <c r="H7" s="52">
        <v>1422.76</v>
      </c>
      <c r="I7" s="53">
        <v>9.24</v>
      </c>
      <c r="J7" s="54" t="s">
        <v>29</v>
      </c>
      <c r="K7" s="54" t="s">
        <v>29</v>
      </c>
      <c r="L7" s="54" t="s">
        <v>29</v>
      </c>
      <c r="M7" s="54" t="s">
        <v>29</v>
      </c>
      <c r="N7" s="54" t="s">
        <v>29</v>
      </c>
      <c r="O7" s="54" t="s">
        <v>29</v>
      </c>
      <c r="P7" s="54" t="s">
        <v>29</v>
      </c>
      <c r="Q7" s="52">
        <v>7951</v>
      </c>
      <c r="R7" s="52">
        <v>1413.52</v>
      </c>
      <c r="S7" s="53">
        <v>9.24</v>
      </c>
      <c r="T7" s="89">
        <f>SUM(Q7-R7)</f>
        <v>6537.48</v>
      </c>
    </row>
    <row r="8" spans="1:25" x14ac:dyDescent="0.25">
      <c r="A8" s="48">
        <v>2</v>
      </c>
      <c r="B8" s="49" t="s">
        <v>370</v>
      </c>
      <c r="C8" s="50">
        <v>237</v>
      </c>
      <c r="D8" s="49" t="s">
        <v>65</v>
      </c>
      <c r="E8" s="51">
        <v>10</v>
      </c>
      <c r="F8" s="48">
        <v>1948</v>
      </c>
      <c r="G8" s="52">
        <v>6110.18</v>
      </c>
      <c r="H8" s="52">
        <v>1118.55</v>
      </c>
      <c r="I8" s="53">
        <v>7.26</v>
      </c>
      <c r="J8" s="54" t="s">
        <v>29</v>
      </c>
      <c r="K8" s="54" t="s">
        <v>29</v>
      </c>
      <c r="L8" s="54" t="s">
        <v>29</v>
      </c>
      <c r="M8" s="54" t="s">
        <v>29</v>
      </c>
      <c r="N8" s="54" t="s">
        <v>29</v>
      </c>
      <c r="O8" s="54" t="s">
        <v>29</v>
      </c>
      <c r="P8" s="54" t="s">
        <v>29</v>
      </c>
      <c r="Q8" s="52">
        <v>6110.18</v>
      </c>
      <c r="R8" s="52">
        <v>1111.29</v>
      </c>
      <c r="S8" s="53">
        <v>7.26</v>
      </c>
      <c r="T8" s="89">
        <f t="shared" ref="T8:T34" si="0">SUM(Q8-R8)</f>
        <v>4998.8900000000003</v>
      </c>
    </row>
    <row r="9" spans="1:25" x14ac:dyDescent="0.25">
      <c r="A9" s="55"/>
      <c r="B9" s="56"/>
      <c r="C9" s="56"/>
      <c r="D9" s="56"/>
      <c r="E9" s="56"/>
      <c r="F9" s="57" t="s">
        <v>275</v>
      </c>
      <c r="G9" s="58">
        <v>14061.18</v>
      </c>
      <c r="H9" s="58">
        <v>2541.31</v>
      </c>
      <c r="I9" s="59">
        <v>16.5</v>
      </c>
      <c r="J9" s="60" t="s">
        <v>29</v>
      </c>
      <c r="K9" s="60" t="s">
        <v>29</v>
      </c>
      <c r="L9" s="60" t="s">
        <v>29</v>
      </c>
      <c r="M9" s="60" t="s">
        <v>29</v>
      </c>
      <c r="N9" s="60" t="s">
        <v>29</v>
      </c>
      <c r="O9" s="60" t="s">
        <v>29</v>
      </c>
      <c r="P9" s="60" t="s">
        <v>29</v>
      </c>
      <c r="Q9" s="58">
        <v>14061.18</v>
      </c>
      <c r="R9" s="58">
        <v>2524.81</v>
      </c>
      <c r="S9" s="59">
        <v>16.5</v>
      </c>
      <c r="T9" s="89">
        <f t="shared" si="0"/>
        <v>11536.37</v>
      </c>
    </row>
    <row r="10" spans="1:25" x14ac:dyDescent="0.25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22"/>
    </row>
    <row r="11" spans="1:25" x14ac:dyDescent="0.25">
      <c r="A11" s="48">
        <v>3</v>
      </c>
      <c r="B11" s="49" t="s">
        <v>371</v>
      </c>
      <c r="C11" s="50">
        <v>729</v>
      </c>
      <c r="D11" s="49" t="s">
        <v>110</v>
      </c>
      <c r="E11" s="51">
        <v>36</v>
      </c>
      <c r="F11" s="48">
        <v>2015</v>
      </c>
      <c r="G11" s="52">
        <v>5657.4</v>
      </c>
      <c r="H11" s="52">
        <v>5440.6</v>
      </c>
      <c r="I11" s="53">
        <v>6.83</v>
      </c>
      <c r="J11" s="54" t="s">
        <v>29</v>
      </c>
      <c r="K11" s="54" t="s">
        <v>29</v>
      </c>
      <c r="L11" s="54" t="s">
        <v>29</v>
      </c>
      <c r="M11" s="54" t="s">
        <v>29</v>
      </c>
      <c r="N11" s="54" t="s">
        <v>29</v>
      </c>
      <c r="O11" s="54" t="s">
        <v>29</v>
      </c>
      <c r="P11" s="54" t="s">
        <v>29</v>
      </c>
      <c r="Q11" s="52">
        <v>5657.4</v>
      </c>
      <c r="R11" s="52">
        <v>5433.77</v>
      </c>
      <c r="S11" s="53">
        <v>6.83</v>
      </c>
      <c r="T11" s="89">
        <f t="shared" si="0"/>
        <v>223.6299999999992</v>
      </c>
    </row>
    <row r="12" spans="1:25" x14ac:dyDescent="0.25">
      <c r="A12" s="48">
        <v>4</v>
      </c>
      <c r="B12" s="49" t="s">
        <v>372</v>
      </c>
      <c r="C12" s="50">
        <v>609</v>
      </c>
      <c r="D12" s="49" t="s">
        <v>373</v>
      </c>
      <c r="E12" s="49"/>
      <c r="F12" s="48">
        <v>2012</v>
      </c>
      <c r="G12" s="52">
        <v>159622.42000000001</v>
      </c>
      <c r="H12" s="52">
        <v>109075.58</v>
      </c>
      <c r="I12" s="53">
        <v>665.09</v>
      </c>
      <c r="J12" s="54" t="s">
        <v>29</v>
      </c>
      <c r="K12" s="54" t="s">
        <v>29</v>
      </c>
      <c r="L12" s="54" t="s">
        <v>29</v>
      </c>
      <c r="M12" s="54" t="s">
        <v>29</v>
      </c>
      <c r="N12" s="54" t="s">
        <v>29</v>
      </c>
      <c r="O12" s="54" t="s">
        <v>29</v>
      </c>
      <c r="P12" s="54" t="s">
        <v>29</v>
      </c>
      <c r="Q12" s="134">
        <v>159622.42000000001</v>
      </c>
      <c r="R12" s="134">
        <v>108410.49</v>
      </c>
      <c r="S12" s="135">
        <v>665.09</v>
      </c>
      <c r="T12" s="136">
        <f t="shared" si="0"/>
        <v>51211.930000000008</v>
      </c>
    </row>
    <row r="13" spans="1:25" x14ac:dyDescent="0.25">
      <c r="A13" s="48">
        <v>5</v>
      </c>
      <c r="B13" s="49" t="s">
        <v>374</v>
      </c>
      <c r="C13" s="50">
        <v>673</v>
      </c>
      <c r="D13" s="49" t="s">
        <v>375</v>
      </c>
      <c r="E13" s="49"/>
      <c r="F13" s="48">
        <v>2012</v>
      </c>
      <c r="G13" s="52">
        <v>7944</v>
      </c>
      <c r="H13" s="52">
        <v>5693.2</v>
      </c>
      <c r="I13" s="53">
        <v>33.1</v>
      </c>
      <c r="J13" s="54" t="s">
        <v>29</v>
      </c>
      <c r="K13" s="54" t="s">
        <v>29</v>
      </c>
      <c r="L13" s="54" t="s">
        <v>29</v>
      </c>
      <c r="M13" s="54" t="s">
        <v>29</v>
      </c>
      <c r="N13" s="54" t="s">
        <v>29</v>
      </c>
      <c r="O13" s="54" t="s">
        <v>29</v>
      </c>
      <c r="P13" s="54" t="s">
        <v>29</v>
      </c>
      <c r="Q13" s="52">
        <v>7944</v>
      </c>
      <c r="R13" s="52">
        <v>5660.1</v>
      </c>
      <c r="S13" s="53">
        <v>33.1</v>
      </c>
      <c r="T13" s="89">
        <f t="shared" si="0"/>
        <v>2283.8999999999996</v>
      </c>
    </row>
    <row r="14" spans="1:25" x14ac:dyDescent="0.25">
      <c r="A14" s="48">
        <v>6</v>
      </c>
      <c r="B14" s="49" t="s">
        <v>376</v>
      </c>
      <c r="C14" s="50">
        <v>674</v>
      </c>
      <c r="D14" s="49" t="s">
        <v>375</v>
      </c>
      <c r="E14" s="49"/>
      <c r="F14" s="48">
        <v>2012</v>
      </c>
      <c r="G14" s="52">
        <v>14991</v>
      </c>
      <c r="H14" s="52">
        <v>10743.72</v>
      </c>
      <c r="I14" s="53">
        <v>62.46</v>
      </c>
      <c r="J14" s="54" t="s">
        <v>29</v>
      </c>
      <c r="K14" s="54" t="s">
        <v>29</v>
      </c>
      <c r="L14" s="54" t="s">
        <v>29</v>
      </c>
      <c r="M14" s="54" t="s">
        <v>29</v>
      </c>
      <c r="N14" s="54" t="s">
        <v>29</v>
      </c>
      <c r="O14" s="54" t="s">
        <v>29</v>
      </c>
      <c r="P14" s="54" t="s">
        <v>29</v>
      </c>
      <c r="Q14" s="52">
        <v>14991</v>
      </c>
      <c r="R14" s="52">
        <v>10681.26</v>
      </c>
      <c r="S14" s="53">
        <v>62.46</v>
      </c>
      <c r="T14" s="89">
        <f t="shared" si="0"/>
        <v>4309.74</v>
      </c>
      <c r="W14" s="22">
        <f>SUM(Q13:Q15)</f>
        <v>53769.91</v>
      </c>
      <c r="X14" s="22">
        <f t="shared" ref="X14" si="1">SUM(R13:R15)</f>
        <v>38568.11</v>
      </c>
      <c r="Y14" s="22">
        <f>SUM(W14-X14)</f>
        <v>15201.800000000003</v>
      </c>
    </row>
    <row r="15" spans="1:25" x14ac:dyDescent="0.25">
      <c r="A15" s="48">
        <v>7</v>
      </c>
      <c r="B15" s="49" t="s">
        <v>377</v>
      </c>
      <c r="C15" s="50">
        <v>679</v>
      </c>
      <c r="D15" s="49" t="s">
        <v>375</v>
      </c>
      <c r="E15" s="49"/>
      <c r="F15" s="48">
        <v>2012</v>
      </c>
      <c r="G15" s="52">
        <v>30834.91</v>
      </c>
      <c r="H15" s="52">
        <v>22355.23</v>
      </c>
      <c r="I15" s="53">
        <v>128.47999999999999</v>
      </c>
      <c r="J15" s="54" t="s">
        <v>29</v>
      </c>
      <c r="K15" s="54" t="s">
        <v>29</v>
      </c>
      <c r="L15" s="54" t="s">
        <v>29</v>
      </c>
      <c r="M15" s="54" t="s">
        <v>29</v>
      </c>
      <c r="N15" s="54" t="s">
        <v>29</v>
      </c>
      <c r="O15" s="54" t="s">
        <v>29</v>
      </c>
      <c r="P15" s="54" t="s">
        <v>29</v>
      </c>
      <c r="Q15" s="52">
        <v>30834.91</v>
      </c>
      <c r="R15" s="52">
        <v>22226.75</v>
      </c>
      <c r="S15" s="53">
        <v>128.47999999999999</v>
      </c>
      <c r="T15" s="89">
        <f t="shared" si="0"/>
        <v>8608.16</v>
      </c>
      <c r="U15" s="22">
        <f>SUM(Q13+Q14+Q15+Q18)</f>
        <v>132514.63</v>
      </c>
      <c r="Y15" s="22">
        <f>SUM(Q18-R18)</f>
        <v>12253.770000000004</v>
      </c>
    </row>
    <row r="16" spans="1:25" ht="15" customHeight="1" x14ac:dyDescent="0.25">
      <c r="A16" s="48">
        <v>8</v>
      </c>
      <c r="B16" s="49" t="s">
        <v>378</v>
      </c>
      <c r="C16" s="50">
        <v>687</v>
      </c>
      <c r="D16" s="49" t="s">
        <v>373</v>
      </c>
      <c r="E16" s="49"/>
      <c r="F16" s="48">
        <v>2013</v>
      </c>
      <c r="G16" s="52">
        <v>47811.11</v>
      </c>
      <c r="H16" s="52">
        <v>43864.81</v>
      </c>
      <c r="I16" s="53">
        <v>63.65</v>
      </c>
      <c r="J16" s="54" t="s">
        <v>29</v>
      </c>
      <c r="K16" s="54" t="s">
        <v>29</v>
      </c>
      <c r="L16" s="54" t="s">
        <v>29</v>
      </c>
      <c r="M16" s="54" t="s">
        <v>29</v>
      </c>
      <c r="N16" s="54" t="s">
        <v>29</v>
      </c>
      <c r="O16" s="54" t="s">
        <v>29</v>
      </c>
      <c r="P16" s="54" t="s">
        <v>29</v>
      </c>
      <c r="Q16" s="134">
        <v>47811.11</v>
      </c>
      <c r="R16" s="134">
        <v>43801.16</v>
      </c>
      <c r="S16" s="135">
        <v>63.65</v>
      </c>
      <c r="T16" s="136">
        <f t="shared" si="0"/>
        <v>4009.9499999999971</v>
      </c>
    </row>
    <row r="17" spans="1:26" x14ac:dyDescent="0.25">
      <c r="A17" s="48">
        <v>9</v>
      </c>
      <c r="B17" s="49" t="s">
        <v>379</v>
      </c>
      <c r="C17" s="50">
        <v>705</v>
      </c>
      <c r="D17" s="49" t="s">
        <v>373</v>
      </c>
      <c r="E17" s="49"/>
      <c r="F17" s="48">
        <v>2013</v>
      </c>
      <c r="G17" s="52">
        <v>115884.58</v>
      </c>
      <c r="H17" s="52">
        <v>89327.83</v>
      </c>
      <c r="I17" s="53">
        <v>482.85</v>
      </c>
      <c r="J17" s="54" t="s">
        <v>29</v>
      </c>
      <c r="K17" s="54" t="s">
        <v>29</v>
      </c>
      <c r="L17" s="54" t="s">
        <v>29</v>
      </c>
      <c r="M17" s="54" t="s">
        <v>29</v>
      </c>
      <c r="N17" s="54" t="s">
        <v>29</v>
      </c>
      <c r="O17" s="54" t="s">
        <v>29</v>
      </c>
      <c r="P17" s="54" t="s">
        <v>29</v>
      </c>
      <c r="Q17" s="134">
        <v>115884.58</v>
      </c>
      <c r="R17" s="134">
        <v>88844.98</v>
      </c>
      <c r="S17" s="135">
        <v>482.85</v>
      </c>
      <c r="T17" s="136">
        <f t="shared" si="0"/>
        <v>27039.600000000006</v>
      </c>
      <c r="U17" s="22">
        <f>SUM(Q16:Q17)</f>
        <v>163695.69</v>
      </c>
      <c r="V17" s="22">
        <f t="shared" ref="V17:Y17" si="2">SUM(R16:R17)</f>
        <v>132646.14000000001</v>
      </c>
      <c r="W17" s="22">
        <f t="shared" si="2"/>
        <v>546.5</v>
      </c>
      <c r="X17" s="22">
        <f t="shared" si="2"/>
        <v>31049.550000000003</v>
      </c>
      <c r="Y17" s="22">
        <f t="shared" si="2"/>
        <v>163695.69</v>
      </c>
    </row>
    <row r="18" spans="1:26" x14ac:dyDescent="0.25">
      <c r="A18" s="48">
        <v>10</v>
      </c>
      <c r="B18" s="49" t="s">
        <v>380</v>
      </c>
      <c r="C18" s="50">
        <v>721</v>
      </c>
      <c r="D18" s="49" t="s">
        <v>375</v>
      </c>
      <c r="E18" s="49"/>
      <c r="F18" s="48">
        <v>2014</v>
      </c>
      <c r="G18" s="52">
        <v>78744.72</v>
      </c>
      <c r="H18" s="52">
        <v>66819.06</v>
      </c>
      <c r="I18" s="53">
        <v>328.11</v>
      </c>
      <c r="J18" s="54" t="s">
        <v>29</v>
      </c>
      <c r="K18" s="54" t="s">
        <v>29</v>
      </c>
      <c r="L18" s="54" t="s">
        <v>29</v>
      </c>
      <c r="M18" s="54" t="s">
        <v>29</v>
      </c>
      <c r="N18" s="54" t="s">
        <v>29</v>
      </c>
      <c r="O18" s="54" t="s">
        <v>29</v>
      </c>
      <c r="P18" s="54" t="s">
        <v>29</v>
      </c>
      <c r="Q18" s="52">
        <v>78744.72</v>
      </c>
      <c r="R18" s="52">
        <v>66490.95</v>
      </c>
      <c r="S18" s="53">
        <v>328.11</v>
      </c>
      <c r="T18" s="89">
        <f t="shared" si="0"/>
        <v>12253.770000000004</v>
      </c>
    </row>
    <row r="19" spans="1:26" x14ac:dyDescent="0.25">
      <c r="A19" s="48">
        <v>11</v>
      </c>
      <c r="B19" s="49" t="s">
        <v>381</v>
      </c>
      <c r="C19" s="50">
        <v>730</v>
      </c>
      <c r="D19" s="49" t="s">
        <v>176</v>
      </c>
      <c r="E19" s="49"/>
      <c r="F19" s="48">
        <v>2015</v>
      </c>
      <c r="G19" s="52">
        <v>457599</v>
      </c>
      <c r="H19" s="52">
        <v>401243.69</v>
      </c>
      <c r="I19" s="52">
        <v>1906.67</v>
      </c>
      <c r="J19" s="54" t="s">
        <v>29</v>
      </c>
      <c r="K19" s="54" t="s">
        <v>29</v>
      </c>
      <c r="L19" s="54" t="s">
        <v>29</v>
      </c>
      <c r="M19" s="54" t="s">
        <v>29</v>
      </c>
      <c r="N19" s="54" t="s">
        <v>29</v>
      </c>
      <c r="O19" s="54" t="s">
        <v>29</v>
      </c>
      <c r="P19" s="54" t="s">
        <v>29</v>
      </c>
      <c r="Q19" s="52">
        <v>457599</v>
      </c>
      <c r="R19" s="52">
        <v>399337.02</v>
      </c>
      <c r="S19" s="52">
        <v>1906.67</v>
      </c>
      <c r="T19" s="89">
        <f t="shared" si="0"/>
        <v>58261.979999999981</v>
      </c>
      <c r="U19" s="22">
        <f>SUM(Q11+Q19+Q20)</f>
        <v>520103.80000000005</v>
      </c>
      <c r="V19" s="150">
        <v>304698.40000000002</v>
      </c>
    </row>
    <row r="20" spans="1:26" x14ac:dyDescent="0.25">
      <c r="A20" s="48">
        <v>12</v>
      </c>
      <c r="B20" s="49" t="s">
        <v>382</v>
      </c>
      <c r="C20" s="50">
        <v>731</v>
      </c>
      <c r="D20" s="49" t="s">
        <v>234</v>
      </c>
      <c r="E20" s="49"/>
      <c r="F20" s="48">
        <v>2015</v>
      </c>
      <c r="G20" s="52">
        <v>56847.4</v>
      </c>
      <c r="H20" s="52">
        <v>49721.96</v>
      </c>
      <c r="I20" s="53">
        <v>236.86</v>
      </c>
      <c r="J20" s="54" t="s">
        <v>29</v>
      </c>
      <c r="K20" s="54" t="s">
        <v>29</v>
      </c>
      <c r="L20" s="54" t="s">
        <v>29</v>
      </c>
      <c r="M20" s="54" t="s">
        <v>29</v>
      </c>
      <c r="N20" s="54" t="s">
        <v>29</v>
      </c>
      <c r="O20" s="54" t="s">
        <v>29</v>
      </c>
      <c r="P20" s="54" t="s">
        <v>29</v>
      </c>
      <c r="Q20" s="52">
        <v>56847.4</v>
      </c>
      <c r="R20" s="52">
        <v>49485.1</v>
      </c>
      <c r="S20" s="53">
        <v>236.86</v>
      </c>
      <c r="T20" s="89">
        <f t="shared" si="0"/>
        <v>7362.3000000000029</v>
      </c>
      <c r="V20">
        <v>242025.32</v>
      </c>
      <c r="Z20">
        <v>55668.4</v>
      </c>
    </row>
    <row r="21" spans="1:26" x14ac:dyDescent="0.25">
      <c r="A21" s="48">
        <v>13</v>
      </c>
      <c r="B21" s="49" t="s">
        <v>383</v>
      </c>
      <c r="C21" s="50">
        <v>739</v>
      </c>
      <c r="D21" s="49" t="s">
        <v>373</v>
      </c>
      <c r="E21" s="49"/>
      <c r="F21" s="48">
        <v>2016</v>
      </c>
      <c r="G21" s="52">
        <v>815413.01</v>
      </c>
      <c r="H21" s="52">
        <v>744483.52</v>
      </c>
      <c r="I21" s="52">
        <v>3397.57</v>
      </c>
      <c r="J21" s="54" t="s">
        <v>29</v>
      </c>
      <c r="K21" s="54" t="s">
        <v>29</v>
      </c>
      <c r="L21" s="54" t="s">
        <v>29</v>
      </c>
      <c r="M21" s="54" t="s">
        <v>29</v>
      </c>
      <c r="N21" s="54" t="s">
        <v>29</v>
      </c>
      <c r="O21" s="54" t="s">
        <v>29</v>
      </c>
      <c r="P21" s="54" t="s">
        <v>29</v>
      </c>
      <c r="Q21" s="134">
        <v>815413.01</v>
      </c>
      <c r="R21" s="134">
        <v>741085.95</v>
      </c>
      <c r="S21" s="134">
        <v>3397.57</v>
      </c>
      <c r="T21" s="136">
        <f t="shared" si="0"/>
        <v>74327.060000000056</v>
      </c>
      <c r="V21" s="22">
        <f>SUM(V19:V20)</f>
        <v>546723.72</v>
      </c>
      <c r="W21" s="22">
        <f>SUM(V21-U19)</f>
        <v>26619.919999999925</v>
      </c>
      <c r="X21" s="22">
        <f>SUM(Q13+Q14)</f>
        <v>22935</v>
      </c>
      <c r="Z21" s="22">
        <f>SUM(Q20-Z20)</f>
        <v>1179</v>
      </c>
    </row>
    <row r="22" spans="1:26" x14ac:dyDescent="0.25">
      <c r="A22" s="48">
        <v>14</v>
      </c>
      <c r="B22" s="49" t="s">
        <v>384</v>
      </c>
      <c r="C22" s="50">
        <v>743</v>
      </c>
      <c r="D22" s="49" t="s">
        <v>373</v>
      </c>
      <c r="E22" s="49"/>
      <c r="F22" s="48">
        <v>2017</v>
      </c>
      <c r="G22" s="52">
        <v>9720</v>
      </c>
      <c r="H22" s="52">
        <v>9288</v>
      </c>
      <c r="I22" s="53">
        <v>40.5</v>
      </c>
      <c r="J22" s="54" t="s">
        <v>29</v>
      </c>
      <c r="K22" s="54" t="s">
        <v>29</v>
      </c>
      <c r="L22" s="54" t="s">
        <v>29</v>
      </c>
      <c r="M22" s="54" t="s">
        <v>29</v>
      </c>
      <c r="N22" s="54" t="s">
        <v>29</v>
      </c>
      <c r="O22" s="54" t="s">
        <v>29</v>
      </c>
      <c r="P22" s="54" t="s">
        <v>29</v>
      </c>
      <c r="Q22" s="52">
        <v>9720</v>
      </c>
      <c r="R22" s="52">
        <v>9247.5</v>
      </c>
      <c r="S22" s="53">
        <v>40.5</v>
      </c>
      <c r="T22" s="89">
        <f t="shared" si="0"/>
        <v>472.5</v>
      </c>
      <c r="U22">
        <f>SUM(Q22/6)</f>
        <v>1620</v>
      </c>
      <c r="V22">
        <f t="shared" ref="V22:X22" si="3">SUM(R22/6)</f>
        <v>1541.25</v>
      </c>
      <c r="W22">
        <f t="shared" si="3"/>
        <v>6.75</v>
      </c>
      <c r="X22">
        <f t="shared" si="3"/>
        <v>78.75</v>
      </c>
    </row>
    <row r="23" spans="1:26" x14ac:dyDescent="0.25">
      <c r="A23" s="48">
        <v>15</v>
      </c>
      <c r="B23" s="49" t="s">
        <v>385</v>
      </c>
      <c r="C23" s="50">
        <v>745</v>
      </c>
      <c r="D23" s="49" t="s">
        <v>234</v>
      </c>
      <c r="E23" s="51">
        <v>22</v>
      </c>
      <c r="F23" s="48">
        <v>2017</v>
      </c>
      <c r="G23" s="52">
        <v>73784</v>
      </c>
      <c r="H23" s="52">
        <v>71939.42</v>
      </c>
      <c r="I23" s="53">
        <v>307.43</v>
      </c>
      <c r="J23" s="54" t="s">
        <v>29</v>
      </c>
      <c r="K23" s="54" t="s">
        <v>29</v>
      </c>
      <c r="L23" s="54" t="s">
        <v>29</v>
      </c>
      <c r="M23" s="54" t="s">
        <v>29</v>
      </c>
      <c r="N23" s="54" t="s">
        <v>29</v>
      </c>
      <c r="O23" s="54" t="s">
        <v>29</v>
      </c>
      <c r="P23" s="54" t="s">
        <v>29</v>
      </c>
      <c r="Q23" s="52">
        <v>73784</v>
      </c>
      <c r="R23" s="52">
        <v>71631.990000000005</v>
      </c>
      <c r="S23" s="53">
        <v>307.43</v>
      </c>
      <c r="T23" s="89">
        <f t="shared" si="0"/>
        <v>2152.0099999999948</v>
      </c>
      <c r="U23" s="22">
        <f>SUM(U22+Q30)</f>
        <v>205395.67</v>
      </c>
      <c r="V23" s="22">
        <f t="shared" ref="V23:X23" si="4">SUM(V22+R30)</f>
        <v>198284.36</v>
      </c>
      <c r="W23" s="22">
        <f t="shared" si="4"/>
        <v>885.82</v>
      </c>
      <c r="X23" s="22">
        <f t="shared" si="4"/>
        <v>7111.3100000000268</v>
      </c>
      <c r="Z23">
        <v>249030</v>
      </c>
    </row>
    <row r="24" spans="1:26" x14ac:dyDescent="0.25">
      <c r="A24" s="48">
        <v>16</v>
      </c>
      <c r="B24" s="49" t="s">
        <v>386</v>
      </c>
      <c r="C24" s="50">
        <v>746</v>
      </c>
      <c r="D24" s="49" t="s">
        <v>373</v>
      </c>
      <c r="E24" s="49"/>
      <c r="F24" s="48">
        <v>2017</v>
      </c>
      <c r="G24" s="52">
        <v>234634.83</v>
      </c>
      <c r="H24" s="52">
        <v>227791.28</v>
      </c>
      <c r="I24" s="53">
        <v>977.65</v>
      </c>
      <c r="J24" s="54" t="s">
        <v>29</v>
      </c>
      <c r="K24" s="54" t="s">
        <v>29</v>
      </c>
      <c r="L24" s="54" t="s">
        <v>29</v>
      </c>
      <c r="M24" s="54" t="s">
        <v>29</v>
      </c>
      <c r="N24" s="54" t="s">
        <v>29</v>
      </c>
      <c r="O24" s="54" t="s">
        <v>29</v>
      </c>
      <c r="P24" s="54" t="s">
        <v>29</v>
      </c>
      <c r="Q24" s="52">
        <v>234634.83</v>
      </c>
      <c r="R24" s="52">
        <v>226813.63</v>
      </c>
      <c r="S24" s="53">
        <v>977.65</v>
      </c>
      <c r="T24" s="89">
        <f t="shared" si="0"/>
        <v>7821.1999999999825</v>
      </c>
      <c r="U24" s="22">
        <f>SUM(Q24+U22)</f>
        <v>236254.83</v>
      </c>
      <c r="V24" s="22">
        <f t="shared" ref="V24:X24" si="5">SUM(R24+V22)</f>
        <v>228354.88</v>
      </c>
      <c r="W24" s="22">
        <f t="shared" si="5"/>
        <v>984.4</v>
      </c>
      <c r="X24" s="22">
        <f t="shared" si="5"/>
        <v>7899.9499999999825</v>
      </c>
      <c r="Z24" s="151">
        <f>SUM(Z20+Z23)</f>
        <v>304698.40000000002</v>
      </c>
    </row>
    <row r="25" spans="1:26" x14ac:dyDescent="0.25">
      <c r="A25" s="48">
        <v>17</v>
      </c>
      <c r="B25" s="49" t="s">
        <v>387</v>
      </c>
      <c r="C25" s="50">
        <v>747</v>
      </c>
      <c r="D25" s="49" t="s">
        <v>373</v>
      </c>
      <c r="E25" s="49"/>
      <c r="F25" s="48">
        <v>2107</v>
      </c>
      <c r="G25" s="52">
        <v>235113.17</v>
      </c>
      <c r="H25" s="52">
        <v>228255.69</v>
      </c>
      <c r="I25" s="53">
        <v>979.64</v>
      </c>
      <c r="J25" s="54" t="s">
        <v>29</v>
      </c>
      <c r="K25" s="54" t="s">
        <v>29</v>
      </c>
      <c r="L25" s="54" t="s">
        <v>29</v>
      </c>
      <c r="M25" s="54" t="s">
        <v>29</v>
      </c>
      <c r="N25" s="54" t="s">
        <v>29</v>
      </c>
      <c r="O25" s="54" t="s">
        <v>29</v>
      </c>
      <c r="P25" s="54" t="s">
        <v>29</v>
      </c>
      <c r="Q25" s="52">
        <v>235113.17</v>
      </c>
      <c r="R25" s="52">
        <v>227276.05</v>
      </c>
      <c r="S25" s="53">
        <v>979.64</v>
      </c>
      <c r="T25" s="89">
        <f t="shared" si="0"/>
        <v>7837.1200000000244</v>
      </c>
      <c r="U25" s="22">
        <f>SUM(Q25+U22)</f>
        <v>236733.17</v>
      </c>
      <c r="V25" s="22">
        <f t="shared" ref="V25:X25" si="6">SUM(R25+V22)</f>
        <v>228817.3</v>
      </c>
      <c r="W25" s="22">
        <f t="shared" si="6"/>
        <v>986.39</v>
      </c>
      <c r="X25" s="22">
        <f t="shared" si="6"/>
        <v>7915.8700000000244</v>
      </c>
      <c r="Z25">
        <v>207405</v>
      </c>
    </row>
    <row r="26" spans="1:26" x14ac:dyDescent="0.25">
      <c r="A26" s="48">
        <v>18</v>
      </c>
      <c r="B26" s="49" t="s">
        <v>388</v>
      </c>
      <c r="C26" s="50">
        <v>748</v>
      </c>
      <c r="D26" s="49" t="s">
        <v>373</v>
      </c>
      <c r="E26" s="49"/>
      <c r="F26" s="48">
        <v>2107</v>
      </c>
      <c r="G26" s="52">
        <v>133022.32999999999</v>
      </c>
      <c r="H26" s="52">
        <v>129142.51</v>
      </c>
      <c r="I26" s="53">
        <v>554.26</v>
      </c>
      <c r="J26" s="54" t="s">
        <v>29</v>
      </c>
      <c r="K26" s="54" t="s">
        <v>29</v>
      </c>
      <c r="L26" s="54" t="s">
        <v>29</v>
      </c>
      <c r="M26" s="54" t="s">
        <v>29</v>
      </c>
      <c r="N26" s="54" t="s">
        <v>29</v>
      </c>
      <c r="O26" s="54" t="s">
        <v>29</v>
      </c>
      <c r="P26" s="54" t="s">
        <v>29</v>
      </c>
      <c r="Q26" s="52">
        <v>133022.32999999999</v>
      </c>
      <c r="R26" s="52">
        <v>128588.25</v>
      </c>
      <c r="S26" s="53">
        <v>554.26</v>
      </c>
      <c r="T26" s="89">
        <f t="shared" si="0"/>
        <v>4434.0799999999872</v>
      </c>
      <c r="U26" s="22"/>
      <c r="V26" s="22"/>
      <c r="W26" s="22"/>
      <c r="X26" s="22"/>
      <c r="Z26">
        <f>SUM(Z23+Z25)</f>
        <v>456435</v>
      </c>
    </row>
    <row r="27" spans="1:26" x14ac:dyDescent="0.25">
      <c r="A27" s="48">
        <v>19</v>
      </c>
      <c r="B27" s="49" t="s">
        <v>389</v>
      </c>
      <c r="C27" s="50">
        <v>749</v>
      </c>
      <c r="D27" s="49" t="s">
        <v>373</v>
      </c>
      <c r="E27" s="49"/>
      <c r="F27" s="48">
        <v>2107</v>
      </c>
      <c r="G27" s="52">
        <v>176121.67</v>
      </c>
      <c r="H27" s="52">
        <v>170984.79</v>
      </c>
      <c r="I27" s="53">
        <v>733.84</v>
      </c>
      <c r="J27" s="54" t="s">
        <v>29</v>
      </c>
      <c r="K27" s="54" t="s">
        <v>29</v>
      </c>
      <c r="L27" s="54" t="s">
        <v>29</v>
      </c>
      <c r="M27" s="54" t="s">
        <v>29</v>
      </c>
      <c r="N27" s="54" t="s">
        <v>29</v>
      </c>
      <c r="O27" s="54" t="s">
        <v>29</v>
      </c>
      <c r="P27" s="54" t="s">
        <v>29</v>
      </c>
      <c r="Q27" s="52">
        <v>176121.67</v>
      </c>
      <c r="R27" s="52">
        <v>170250.95</v>
      </c>
      <c r="S27" s="53">
        <v>733.84</v>
      </c>
      <c r="T27" s="89">
        <f t="shared" si="0"/>
        <v>5870.7200000000012</v>
      </c>
      <c r="U27" s="22">
        <f>SUM(Q27+U22)</f>
        <v>177741.67</v>
      </c>
      <c r="V27" s="22">
        <f t="shared" ref="V27:X27" si="7">SUM(R27+V22)</f>
        <v>171792.2</v>
      </c>
      <c r="W27" s="22">
        <f t="shared" si="7"/>
        <v>740.59</v>
      </c>
      <c r="X27" s="22">
        <f t="shared" si="7"/>
        <v>5949.4700000000012</v>
      </c>
      <c r="Z27" s="22">
        <f>SUM(Q19-Z26)</f>
        <v>1164</v>
      </c>
    </row>
    <row r="28" spans="1:26" x14ac:dyDescent="0.25">
      <c r="A28" s="48">
        <v>20</v>
      </c>
      <c r="B28" s="49" t="s">
        <v>390</v>
      </c>
      <c r="C28" s="50">
        <v>750</v>
      </c>
      <c r="D28" s="49" t="s">
        <v>373</v>
      </c>
      <c r="E28" s="49"/>
      <c r="F28" s="48">
        <v>2107</v>
      </c>
      <c r="G28" s="52">
        <v>162411.76999999999</v>
      </c>
      <c r="H28" s="52">
        <v>157674.73000000001</v>
      </c>
      <c r="I28" s="53">
        <v>676.72</v>
      </c>
      <c r="J28" s="54" t="s">
        <v>29</v>
      </c>
      <c r="K28" s="54" t="s">
        <v>29</v>
      </c>
      <c r="L28" s="54" t="s">
        <v>29</v>
      </c>
      <c r="M28" s="54" t="s">
        <v>29</v>
      </c>
      <c r="N28" s="54" t="s">
        <v>29</v>
      </c>
      <c r="O28" s="54" t="s">
        <v>29</v>
      </c>
      <c r="P28" s="54" t="s">
        <v>29</v>
      </c>
      <c r="Q28" s="52">
        <v>162411.76999999999</v>
      </c>
      <c r="R28" s="52">
        <v>156998.01</v>
      </c>
      <c r="S28" s="53">
        <v>676.72</v>
      </c>
      <c r="T28" s="89">
        <f t="shared" si="0"/>
        <v>5413.7599999999802</v>
      </c>
      <c r="U28" s="22">
        <f>SUM(Q28+U22)</f>
        <v>164031.76999999999</v>
      </c>
      <c r="V28" s="22">
        <f t="shared" ref="V28:X28" si="8">SUM(R28+V22)</f>
        <v>158539.26</v>
      </c>
      <c r="W28" s="22">
        <f t="shared" si="8"/>
        <v>683.47</v>
      </c>
      <c r="X28" s="22">
        <f t="shared" si="8"/>
        <v>5492.5099999999802</v>
      </c>
    </row>
    <row r="29" spans="1:26" x14ac:dyDescent="0.25">
      <c r="A29" s="48">
        <v>21</v>
      </c>
      <c r="B29" s="49" t="s">
        <v>391</v>
      </c>
      <c r="C29" s="50">
        <v>752</v>
      </c>
      <c r="D29" s="49" t="s">
        <v>392</v>
      </c>
      <c r="E29" s="49"/>
      <c r="F29" s="48">
        <v>2107</v>
      </c>
      <c r="G29" s="52">
        <v>83333.33</v>
      </c>
      <c r="H29" s="52">
        <v>78472.25</v>
      </c>
      <c r="I29" s="53">
        <v>694.44</v>
      </c>
      <c r="J29" s="54" t="s">
        <v>29</v>
      </c>
      <c r="K29" s="54" t="s">
        <v>29</v>
      </c>
      <c r="L29" s="54" t="s">
        <v>29</v>
      </c>
      <c r="M29" s="54" t="s">
        <v>29</v>
      </c>
      <c r="N29" s="54" t="s">
        <v>29</v>
      </c>
      <c r="O29" s="54" t="s">
        <v>29</v>
      </c>
      <c r="P29" s="54" t="s">
        <v>29</v>
      </c>
      <c r="Q29" s="52">
        <v>83333.33</v>
      </c>
      <c r="R29" s="52">
        <v>77777.81</v>
      </c>
      <c r="S29" s="53">
        <v>694.44</v>
      </c>
      <c r="T29" s="89">
        <f t="shared" si="0"/>
        <v>5555.5200000000041</v>
      </c>
      <c r="U29" s="22">
        <f>SUM(U23+U24+U25+U26+U27+U28)</f>
        <v>1020157.1100000001</v>
      </c>
      <c r="V29" s="22">
        <f t="shared" ref="V29:X29" si="9">SUM(V23+V24+V25+V26+V27+V28)</f>
        <v>985788</v>
      </c>
      <c r="W29" s="22">
        <f t="shared" si="9"/>
        <v>4280.67</v>
      </c>
      <c r="X29" s="22">
        <f t="shared" si="9"/>
        <v>34369.110000000015</v>
      </c>
    </row>
    <row r="30" spans="1:26" x14ac:dyDescent="0.25">
      <c r="A30" s="48">
        <v>22</v>
      </c>
      <c r="B30" s="49" t="s">
        <v>391</v>
      </c>
      <c r="C30" s="50">
        <v>751</v>
      </c>
      <c r="D30" s="49" t="s">
        <v>373</v>
      </c>
      <c r="E30" s="49"/>
      <c r="F30" s="48">
        <v>2107</v>
      </c>
      <c r="G30" s="52">
        <v>203775.67</v>
      </c>
      <c r="H30" s="52">
        <v>197622.18</v>
      </c>
      <c r="I30" s="53">
        <v>879.07</v>
      </c>
      <c r="J30" s="54" t="s">
        <v>29</v>
      </c>
      <c r="K30" s="54" t="s">
        <v>29</v>
      </c>
      <c r="L30" s="54" t="s">
        <v>29</v>
      </c>
      <c r="M30" s="54" t="s">
        <v>29</v>
      </c>
      <c r="N30" s="54" t="s">
        <v>29</v>
      </c>
      <c r="O30" s="54" t="s">
        <v>29</v>
      </c>
      <c r="P30" s="54" t="s">
        <v>29</v>
      </c>
      <c r="Q30" s="52">
        <v>203775.67</v>
      </c>
      <c r="R30" s="52">
        <v>196743.11</v>
      </c>
      <c r="S30" s="53">
        <v>879.07</v>
      </c>
      <c r="T30" s="89">
        <f t="shared" si="0"/>
        <v>7032.5600000000268</v>
      </c>
      <c r="U30" s="22">
        <f>SUM(Q22+Q24+Q25+Q26+Q27+Q28+Q30)</f>
        <v>1154799.44</v>
      </c>
    </row>
    <row r="31" spans="1:26" x14ac:dyDescent="0.25">
      <c r="A31" s="48">
        <v>23</v>
      </c>
      <c r="B31" s="49" t="s">
        <v>393</v>
      </c>
      <c r="C31" s="50">
        <v>753</v>
      </c>
      <c r="D31" s="49" t="s">
        <v>176</v>
      </c>
      <c r="E31" s="49" t="s">
        <v>394</v>
      </c>
      <c r="F31" s="48">
        <v>2017</v>
      </c>
      <c r="G31" s="52">
        <v>246666.7</v>
      </c>
      <c r="H31" s="52">
        <v>238033.39</v>
      </c>
      <c r="I31" s="52">
        <v>1233.33</v>
      </c>
      <c r="J31" s="54" t="s">
        <v>29</v>
      </c>
      <c r="K31" s="54" t="s">
        <v>29</v>
      </c>
      <c r="L31" s="54" t="s">
        <v>29</v>
      </c>
      <c r="M31" s="54" t="s">
        <v>29</v>
      </c>
      <c r="N31" s="54" t="s">
        <v>29</v>
      </c>
      <c r="O31" s="54" t="s">
        <v>29</v>
      </c>
      <c r="P31" s="54" t="s">
        <v>29</v>
      </c>
      <c r="Q31" s="52">
        <v>246666.7</v>
      </c>
      <c r="R31" s="52">
        <v>236800.06</v>
      </c>
      <c r="S31" s="52">
        <v>1233.33</v>
      </c>
      <c r="T31" s="89">
        <f t="shared" si="0"/>
        <v>9866.640000000014</v>
      </c>
    </row>
    <row r="32" spans="1:26" x14ac:dyDescent="0.25">
      <c r="A32" s="48">
        <v>24</v>
      </c>
      <c r="B32" s="49" t="s">
        <v>395</v>
      </c>
      <c r="C32" s="50">
        <v>754</v>
      </c>
      <c r="D32" s="49" t="s">
        <v>77</v>
      </c>
      <c r="E32" s="49" t="s">
        <v>394</v>
      </c>
      <c r="F32" s="48">
        <v>2017</v>
      </c>
      <c r="G32" s="52">
        <v>222184</v>
      </c>
      <c r="H32" s="52">
        <v>214407.56</v>
      </c>
      <c r="I32" s="52">
        <v>1110.92</v>
      </c>
      <c r="J32" s="54" t="s">
        <v>29</v>
      </c>
      <c r="K32" s="54" t="s">
        <v>29</v>
      </c>
      <c r="L32" s="54" t="s">
        <v>29</v>
      </c>
      <c r="M32" s="54" t="s">
        <v>29</v>
      </c>
      <c r="N32" s="54" t="s">
        <v>29</v>
      </c>
      <c r="O32" s="54" t="s">
        <v>29</v>
      </c>
      <c r="P32" s="54" t="s">
        <v>29</v>
      </c>
      <c r="Q32" s="52">
        <v>222184</v>
      </c>
      <c r="R32" s="52">
        <v>213296.64000000001</v>
      </c>
      <c r="S32" s="52">
        <v>1110.92</v>
      </c>
      <c r="T32" s="89">
        <f t="shared" si="0"/>
        <v>8887.359999999986</v>
      </c>
      <c r="U32" s="137">
        <v>1020157.11</v>
      </c>
    </row>
    <row r="33" spans="1:25" x14ac:dyDescent="0.25">
      <c r="A33" s="48">
        <v>25</v>
      </c>
      <c r="B33" s="49" t="s">
        <v>396</v>
      </c>
      <c r="C33" s="50">
        <v>755</v>
      </c>
      <c r="D33" s="49" t="s">
        <v>234</v>
      </c>
      <c r="E33" s="49" t="s">
        <v>394</v>
      </c>
      <c r="F33" s="48">
        <v>2017</v>
      </c>
      <c r="G33" s="52">
        <v>46639.25</v>
      </c>
      <c r="H33" s="52">
        <v>45667.6</v>
      </c>
      <c r="I33" s="53">
        <v>194.33</v>
      </c>
      <c r="J33" s="54" t="s">
        <v>29</v>
      </c>
      <c r="K33" s="54" t="s">
        <v>29</v>
      </c>
      <c r="L33" s="54" t="s">
        <v>29</v>
      </c>
      <c r="M33" s="54" t="s">
        <v>29</v>
      </c>
      <c r="N33" s="54" t="s">
        <v>29</v>
      </c>
      <c r="O33" s="54" t="s">
        <v>29</v>
      </c>
      <c r="P33" s="54" t="s">
        <v>29</v>
      </c>
      <c r="Q33" s="52">
        <v>46639.25</v>
      </c>
      <c r="R33" s="52">
        <v>45473.27</v>
      </c>
      <c r="S33" s="53">
        <v>194.33</v>
      </c>
      <c r="T33" s="89">
        <f t="shared" si="0"/>
        <v>1165.9800000000032</v>
      </c>
      <c r="U33" s="22">
        <f>SUM(Q22+Q24+Q25+Q26+Q27+Q28+Q30)</f>
        <v>1154799.44</v>
      </c>
    </row>
    <row r="34" spans="1:25" x14ac:dyDescent="0.25">
      <c r="A34" s="55"/>
      <c r="B34" s="56"/>
      <c r="C34" s="56"/>
      <c r="D34" s="56"/>
      <c r="E34" s="56"/>
      <c r="F34" s="57" t="s">
        <v>275</v>
      </c>
      <c r="G34" s="58">
        <v>3618756.27</v>
      </c>
      <c r="H34" s="58">
        <v>3318048.6</v>
      </c>
      <c r="I34" s="58">
        <v>15693.8</v>
      </c>
      <c r="J34" s="60" t="s">
        <v>29</v>
      </c>
      <c r="K34" s="60" t="s">
        <v>29</v>
      </c>
      <c r="L34" s="60" t="s">
        <v>29</v>
      </c>
      <c r="M34" s="60" t="s">
        <v>29</v>
      </c>
      <c r="N34" s="60" t="s">
        <v>29</v>
      </c>
      <c r="O34" s="60" t="s">
        <v>29</v>
      </c>
      <c r="P34" s="60" t="s">
        <v>29</v>
      </c>
      <c r="Q34" s="58">
        <v>3618756.27</v>
      </c>
      <c r="R34" s="58">
        <v>3302354.8</v>
      </c>
      <c r="S34" s="58">
        <v>15693.8</v>
      </c>
      <c r="T34" s="89">
        <f t="shared" si="0"/>
        <v>316401.4700000002</v>
      </c>
      <c r="U34" s="22">
        <f>SUM(U30-U32)</f>
        <v>134642.32999999996</v>
      </c>
    </row>
    <row r="35" spans="1:25" x14ac:dyDescent="0.25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U35" s="22">
        <f>SUM(U34-U22)</f>
        <v>133022.32999999996</v>
      </c>
    </row>
    <row r="36" spans="1:25" x14ac:dyDescent="0.25">
      <c r="A36" s="55"/>
      <c r="B36" s="56"/>
      <c r="C36" s="56"/>
      <c r="D36" s="56"/>
      <c r="E36" s="56"/>
      <c r="F36" s="57" t="s">
        <v>397</v>
      </c>
      <c r="G36" s="58">
        <v>3632817.45</v>
      </c>
      <c r="H36" s="58">
        <v>3320589.91</v>
      </c>
      <c r="I36" s="58">
        <v>15710.3</v>
      </c>
      <c r="J36" s="61"/>
      <c r="K36" s="61"/>
      <c r="L36" s="61"/>
      <c r="M36" s="60" t="s">
        <v>29</v>
      </c>
      <c r="N36" s="60" t="s">
        <v>29</v>
      </c>
      <c r="O36" s="60" t="s">
        <v>29</v>
      </c>
      <c r="P36" s="60" t="s">
        <v>29</v>
      </c>
      <c r="Q36" s="58">
        <v>3632817.45</v>
      </c>
      <c r="R36" s="58">
        <v>3304879.61</v>
      </c>
      <c r="S36" s="58">
        <v>15710.3</v>
      </c>
    </row>
    <row r="37" spans="1:25" x14ac:dyDescent="0.25">
      <c r="U37" s="22">
        <f>SUM(Q26+U22)</f>
        <v>134642.32999999999</v>
      </c>
      <c r="V37" s="22">
        <f>SUM(R26+V22)</f>
        <v>130129.5</v>
      </c>
      <c r="W37" s="22">
        <f t="shared" ref="W37:X37" si="10">SUM(S26+W22)</f>
        <v>561.01</v>
      </c>
      <c r="X37" s="22">
        <f t="shared" si="10"/>
        <v>4512.8299999999872</v>
      </c>
      <c r="Y37" s="22">
        <f>SUM(U37-V37)</f>
        <v>4512.8299999999872</v>
      </c>
    </row>
    <row r="38" spans="1:25" x14ac:dyDescent="0.25">
      <c r="U38" s="22">
        <f>ROUND((U37*0.3333333),2)</f>
        <v>44880.77</v>
      </c>
      <c r="V38" s="22">
        <f t="shared" ref="V38:X38" si="11">ROUND((V37*0.3333333),2)</f>
        <v>43376.5</v>
      </c>
      <c r="W38" s="22">
        <f t="shared" si="11"/>
        <v>187</v>
      </c>
      <c r="X38" s="22">
        <f t="shared" si="11"/>
        <v>1504.28</v>
      </c>
      <c r="Y38" s="22">
        <f t="shared" ref="Y38:Y39" si="12">SUM(U38-V38)</f>
        <v>1504.2699999999968</v>
      </c>
    </row>
    <row r="39" spans="1:25" x14ac:dyDescent="0.25">
      <c r="U39" s="22">
        <f>ROUND((U37*0.6666667),2)</f>
        <v>89761.56</v>
      </c>
      <c r="V39" s="22">
        <f t="shared" ref="V39:X39" si="13">ROUND((V37*0.6666667),2)</f>
        <v>86753</v>
      </c>
      <c r="W39" s="22">
        <f t="shared" si="13"/>
        <v>374.01</v>
      </c>
      <c r="X39" s="22">
        <f t="shared" si="13"/>
        <v>3008.55</v>
      </c>
      <c r="Y39" s="22">
        <f t="shared" si="12"/>
        <v>3008.5599999999977</v>
      </c>
    </row>
    <row r="40" spans="1:25" x14ac:dyDescent="0.25">
      <c r="U40" s="22">
        <f>SUM(U37-U38-U39)</f>
        <v>0</v>
      </c>
      <c r="V40" s="22">
        <f t="shared" ref="V40:Y40" si="14">SUM(V37-V38-V39)</f>
        <v>0</v>
      </c>
      <c r="W40" s="22">
        <f t="shared" si="14"/>
        <v>0</v>
      </c>
      <c r="X40" s="22">
        <f t="shared" si="14"/>
        <v>-1.2732925824820995E-11</v>
      </c>
      <c r="Y40" s="22">
        <f t="shared" si="14"/>
        <v>-7.2759576141834259E-12</v>
      </c>
    </row>
    <row r="41" spans="1:25" x14ac:dyDescent="0.25">
      <c r="U41">
        <v>44880.77</v>
      </c>
      <c r="V41">
        <v>0.33</v>
      </c>
      <c r="X41" s="138">
        <v>44880.77</v>
      </c>
    </row>
    <row r="42" spans="1:25" x14ac:dyDescent="0.25">
      <c r="U42">
        <v>89761.56</v>
      </c>
      <c r="V42">
        <v>0.67</v>
      </c>
      <c r="X42">
        <v>163695.69</v>
      </c>
    </row>
    <row r="43" spans="1:25" x14ac:dyDescent="0.25">
      <c r="U43">
        <f>SUM(U41:U42)</f>
        <v>134642.32999999999</v>
      </c>
      <c r="X43">
        <v>815413.01</v>
      </c>
    </row>
    <row r="44" spans="1:25" x14ac:dyDescent="0.25">
      <c r="X44">
        <v>1020157.11</v>
      </c>
    </row>
    <row r="45" spans="1:25" x14ac:dyDescent="0.25">
      <c r="V45" s="22">
        <f>SUM(U39-V39)</f>
        <v>3008.5599999999977</v>
      </c>
      <c r="X45">
        <v>159622.42000000001</v>
      </c>
    </row>
    <row r="46" spans="1:25" x14ac:dyDescent="0.25">
      <c r="X46" s="138">
        <v>89761.56</v>
      </c>
    </row>
    <row r="48" spans="1:25" x14ac:dyDescent="0.25">
      <c r="W48" s="22">
        <f>SUM(Q12+Q16+Q17+Q21+Q22+Q24+Q25+Q26+Q27+Q28+Q30)</f>
        <v>2293530.56</v>
      </c>
      <c r="X48">
        <f>SUM(X41:X46)</f>
        <v>2293530.56</v>
      </c>
    </row>
  </sheetData>
  <mergeCells count="4">
    <mergeCell ref="A1:H1"/>
    <mergeCell ref="D3:F3"/>
    <mergeCell ref="D5:E5"/>
    <mergeCell ref="J5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0"/>
  <sheetViews>
    <sheetView topLeftCell="A13" workbookViewId="0">
      <selection activeCell="A21" sqref="A21:XFD21"/>
    </sheetView>
  </sheetViews>
  <sheetFormatPr defaultRowHeight="15" x14ac:dyDescent="0.25"/>
  <cols>
    <col min="1" max="1" width="5.140625" customWidth="1"/>
    <col min="2" max="2" width="8.5703125" customWidth="1"/>
    <col min="3" max="3" width="0" hidden="1" customWidth="1"/>
    <col min="4" max="4" width="17.5703125" customWidth="1"/>
    <col min="5" max="5" width="6.140625" customWidth="1"/>
    <col min="6" max="6" width="8.28515625" customWidth="1"/>
    <col min="7" max="7" width="10.7109375" hidden="1" customWidth="1"/>
    <col min="8" max="16" width="0" hidden="1" customWidth="1"/>
    <col min="17" max="17" width="13" customWidth="1"/>
    <col min="18" max="18" width="12.7109375" customWidth="1"/>
    <col min="19" max="19" width="9" customWidth="1"/>
    <col min="20" max="20" width="10.5703125" style="23" customWidth="1"/>
  </cols>
  <sheetData>
    <row r="1" spans="1:51" x14ac:dyDescent="0.25">
      <c r="A1" s="605" t="s">
        <v>0</v>
      </c>
      <c r="B1" s="605"/>
      <c r="C1" s="605"/>
      <c r="D1" s="605"/>
      <c r="E1" s="605"/>
      <c r="F1" s="605"/>
      <c r="G1" s="605"/>
      <c r="H1" s="605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</row>
    <row r="2" spans="1:51" x14ac:dyDescent="0.25">
      <c r="A2" s="63"/>
      <c r="B2" s="63"/>
      <c r="C2" s="63"/>
      <c r="D2" s="64" t="s">
        <v>1</v>
      </c>
      <c r="E2" s="606" t="s">
        <v>2</v>
      </c>
      <c r="F2" s="606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</row>
    <row r="3" spans="1:51" x14ac:dyDescent="0.25">
      <c r="A3" s="63"/>
      <c r="B3" s="63"/>
      <c r="C3" s="63"/>
      <c r="D3" s="607" t="s">
        <v>398</v>
      </c>
      <c r="E3" s="607"/>
      <c r="F3" s="607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</row>
    <row r="4" spans="1:51" x14ac:dyDescent="0.25">
      <c r="A4" s="63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</row>
    <row r="5" spans="1:51" x14ac:dyDescent="0.25">
      <c r="A5" s="65" t="s">
        <v>4</v>
      </c>
      <c r="B5" s="65" t="s">
        <v>5</v>
      </c>
      <c r="C5" s="66"/>
      <c r="D5" s="608" t="s">
        <v>6</v>
      </c>
      <c r="E5" s="608"/>
      <c r="F5" s="65" t="s">
        <v>7</v>
      </c>
      <c r="G5" s="65" t="s">
        <v>8</v>
      </c>
      <c r="H5" s="65" t="s">
        <v>9</v>
      </c>
      <c r="I5" s="65" t="s">
        <v>10</v>
      </c>
      <c r="J5" s="609" t="s">
        <v>11</v>
      </c>
      <c r="K5" s="609"/>
      <c r="L5" s="609"/>
      <c r="M5" s="65" t="s">
        <v>12</v>
      </c>
      <c r="N5" s="65" t="s">
        <v>12</v>
      </c>
      <c r="O5" s="65" t="s">
        <v>13</v>
      </c>
      <c r="P5" s="65" t="s">
        <v>13</v>
      </c>
      <c r="Q5" s="84" t="s">
        <v>22</v>
      </c>
      <c r="R5" s="84" t="s">
        <v>449</v>
      </c>
      <c r="S5" s="84" t="s">
        <v>367</v>
      </c>
      <c r="T5" s="86" t="s">
        <v>448</v>
      </c>
    </row>
    <row r="6" spans="1:51" x14ac:dyDescent="0.25">
      <c r="A6" s="67" t="s">
        <v>14</v>
      </c>
      <c r="B6" s="67" t="s">
        <v>15</v>
      </c>
      <c r="C6" s="67" t="s">
        <v>16</v>
      </c>
      <c r="D6" s="68" t="s">
        <v>17</v>
      </c>
      <c r="E6" s="69" t="s">
        <v>18</v>
      </c>
      <c r="F6" s="67" t="s">
        <v>19</v>
      </c>
      <c r="G6" s="67" t="s">
        <v>20</v>
      </c>
      <c r="H6" s="67" t="s">
        <v>20</v>
      </c>
      <c r="I6" s="67" t="s">
        <v>21</v>
      </c>
      <c r="J6" s="65" t="s">
        <v>22</v>
      </c>
      <c r="K6" s="65" t="s">
        <v>23</v>
      </c>
      <c r="L6" s="65" t="s">
        <v>10</v>
      </c>
      <c r="M6" s="67" t="s">
        <v>24</v>
      </c>
      <c r="N6" s="67" t="s">
        <v>25</v>
      </c>
      <c r="O6" s="67" t="s">
        <v>24</v>
      </c>
      <c r="P6" s="67" t="s">
        <v>25</v>
      </c>
      <c r="Q6" s="67" t="s">
        <v>26</v>
      </c>
      <c r="R6" s="67" t="s">
        <v>26</v>
      </c>
      <c r="S6" s="67"/>
      <c r="T6" s="87"/>
    </row>
    <row r="7" spans="1:51" x14ac:dyDescent="0.25">
      <c r="A7" s="70">
        <v>1</v>
      </c>
      <c r="B7" s="71" t="s">
        <v>399</v>
      </c>
      <c r="C7" s="72">
        <v>222</v>
      </c>
      <c r="D7" s="71" t="s">
        <v>400</v>
      </c>
      <c r="E7" s="73">
        <v>27</v>
      </c>
      <c r="F7" s="70">
        <v>1939</v>
      </c>
      <c r="G7" s="74">
        <v>3839.64</v>
      </c>
      <c r="H7" s="75" t="s">
        <v>29</v>
      </c>
      <c r="I7" s="75" t="s">
        <v>29</v>
      </c>
      <c r="J7" s="75" t="s">
        <v>29</v>
      </c>
      <c r="K7" s="75" t="s">
        <v>29</v>
      </c>
      <c r="L7" s="75" t="s">
        <v>29</v>
      </c>
      <c r="M7" s="75" t="s">
        <v>29</v>
      </c>
      <c r="N7" s="75" t="s">
        <v>29</v>
      </c>
      <c r="O7" s="75" t="s">
        <v>29</v>
      </c>
      <c r="P7" s="75" t="s">
        <v>29</v>
      </c>
      <c r="Q7" s="74">
        <v>3839.64</v>
      </c>
      <c r="R7" s="75" t="s">
        <v>29</v>
      </c>
      <c r="S7" s="75" t="s">
        <v>29</v>
      </c>
      <c r="T7" s="85"/>
    </row>
    <row r="8" spans="1:51" x14ac:dyDescent="0.25">
      <c r="A8" s="70">
        <v>3</v>
      </c>
      <c r="B8" s="71" t="s">
        <v>401</v>
      </c>
      <c r="C8" s="72">
        <v>225</v>
      </c>
      <c r="D8" s="71" t="s">
        <v>39</v>
      </c>
      <c r="E8" s="71" t="s">
        <v>402</v>
      </c>
      <c r="F8" s="70">
        <v>1939</v>
      </c>
      <c r="G8" s="74">
        <v>10086.290000000001</v>
      </c>
      <c r="H8" s="74">
        <v>1122.8599999999999</v>
      </c>
      <c r="I8" s="76">
        <v>8.61</v>
      </c>
      <c r="J8" s="75" t="s">
        <v>29</v>
      </c>
      <c r="K8" s="75" t="s">
        <v>29</v>
      </c>
      <c r="L8" s="75" t="s">
        <v>29</v>
      </c>
      <c r="M8" s="75" t="s">
        <v>29</v>
      </c>
      <c r="N8" s="75" t="s">
        <v>29</v>
      </c>
      <c r="O8" s="75" t="s">
        <v>29</v>
      </c>
      <c r="P8" s="75" t="s">
        <v>29</v>
      </c>
      <c r="Q8" s="74">
        <v>10086.290000000001</v>
      </c>
      <c r="R8" s="74">
        <v>1114.25</v>
      </c>
      <c r="S8" s="76">
        <v>8.61</v>
      </c>
      <c r="T8" s="85">
        <f t="shared" ref="T8:T42" si="0">SUM(Q8-R8)</f>
        <v>8972.0400000000009</v>
      </c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</row>
    <row r="9" spans="1:51" x14ac:dyDescent="0.25">
      <c r="A9" s="70">
        <v>4</v>
      </c>
      <c r="B9" s="71" t="s">
        <v>403</v>
      </c>
      <c r="C9" s="72">
        <v>227</v>
      </c>
      <c r="D9" s="71" t="s">
        <v>50</v>
      </c>
      <c r="E9" s="73">
        <v>49</v>
      </c>
      <c r="F9" s="70">
        <v>1939</v>
      </c>
      <c r="G9" s="74">
        <v>5760.82</v>
      </c>
      <c r="H9" s="75" t="s">
        <v>29</v>
      </c>
      <c r="I9" s="75" t="s">
        <v>29</v>
      </c>
      <c r="J9" s="75" t="s">
        <v>29</v>
      </c>
      <c r="K9" s="75" t="s">
        <v>29</v>
      </c>
      <c r="L9" s="75" t="s">
        <v>29</v>
      </c>
      <c r="M9" s="75" t="s">
        <v>29</v>
      </c>
      <c r="N9" s="75" t="s">
        <v>29</v>
      </c>
      <c r="O9" s="75" t="s">
        <v>29</v>
      </c>
      <c r="P9" s="75" t="s">
        <v>29</v>
      </c>
      <c r="Q9" s="74">
        <v>5760.82</v>
      </c>
      <c r="R9" s="75" t="s">
        <v>29</v>
      </c>
      <c r="S9" s="75" t="s">
        <v>29</v>
      </c>
      <c r="T9" s="85"/>
    </row>
    <row r="10" spans="1:51" x14ac:dyDescent="0.25">
      <c r="A10" s="70">
        <v>5</v>
      </c>
      <c r="B10" s="71" t="s">
        <v>404</v>
      </c>
      <c r="C10" s="72">
        <v>228</v>
      </c>
      <c r="D10" s="71" t="s">
        <v>50</v>
      </c>
      <c r="E10" s="73">
        <v>53</v>
      </c>
      <c r="F10" s="70">
        <v>1939</v>
      </c>
      <c r="G10" s="76">
        <v>298.37</v>
      </c>
      <c r="H10" s="75" t="s">
        <v>29</v>
      </c>
      <c r="I10" s="75" t="s">
        <v>29</v>
      </c>
      <c r="J10" s="75" t="s">
        <v>29</v>
      </c>
      <c r="K10" s="75" t="s">
        <v>29</v>
      </c>
      <c r="L10" s="75" t="s">
        <v>29</v>
      </c>
      <c r="M10" s="75" t="s">
        <v>29</v>
      </c>
      <c r="N10" s="75" t="s">
        <v>29</v>
      </c>
      <c r="O10" s="75" t="s">
        <v>29</v>
      </c>
      <c r="P10" s="75" t="s">
        <v>29</v>
      </c>
      <c r="Q10" s="76">
        <v>298.37</v>
      </c>
      <c r="R10" s="75" t="s">
        <v>29</v>
      </c>
      <c r="S10" s="75" t="s">
        <v>29</v>
      </c>
      <c r="T10" s="85"/>
    </row>
    <row r="11" spans="1:51" x14ac:dyDescent="0.25">
      <c r="A11" s="70">
        <v>6</v>
      </c>
      <c r="B11" s="71" t="s">
        <v>405</v>
      </c>
      <c r="C11" s="72">
        <v>229</v>
      </c>
      <c r="D11" s="71" t="s">
        <v>406</v>
      </c>
      <c r="E11" s="73">
        <v>3</v>
      </c>
      <c r="F11" s="70">
        <v>1939</v>
      </c>
      <c r="G11" s="74">
        <v>3067.1</v>
      </c>
      <c r="H11" s="75" t="s">
        <v>29</v>
      </c>
      <c r="I11" s="75" t="s">
        <v>29</v>
      </c>
      <c r="J11" s="75" t="s">
        <v>29</v>
      </c>
      <c r="K11" s="75" t="s">
        <v>29</v>
      </c>
      <c r="L11" s="75" t="s">
        <v>29</v>
      </c>
      <c r="M11" s="75" t="s">
        <v>29</v>
      </c>
      <c r="N11" s="75" t="s">
        <v>29</v>
      </c>
      <c r="O11" s="75" t="s">
        <v>29</v>
      </c>
      <c r="P11" s="75" t="s">
        <v>29</v>
      </c>
      <c r="Q11" s="74">
        <v>3067.1</v>
      </c>
      <c r="R11" s="75" t="s">
        <v>29</v>
      </c>
      <c r="S11" s="75" t="s">
        <v>29</v>
      </c>
      <c r="T11" s="85"/>
    </row>
    <row r="12" spans="1:51" x14ac:dyDescent="0.25">
      <c r="A12" s="70">
        <v>7</v>
      </c>
      <c r="B12" s="71" t="s">
        <v>407</v>
      </c>
      <c r="C12" s="72">
        <v>231</v>
      </c>
      <c r="D12" s="71" t="s">
        <v>94</v>
      </c>
      <c r="E12" s="71" t="s">
        <v>408</v>
      </c>
      <c r="F12" s="70">
        <v>1970</v>
      </c>
      <c r="G12" s="76">
        <v>284.01</v>
      </c>
      <c r="H12" s="75" t="s">
        <v>29</v>
      </c>
      <c r="I12" s="75" t="s">
        <v>29</v>
      </c>
      <c r="J12" s="75" t="s">
        <v>29</v>
      </c>
      <c r="K12" s="75" t="s">
        <v>29</v>
      </c>
      <c r="L12" s="75" t="s">
        <v>29</v>
      </c>
      <c r="M12" s="75" t="s">
        <v>29</v>
      </c>
      <c r="N12" s="75" t="s">
        <v>29</v>
      </c>
      <c r="O12" s="75" t="s">
        <v>29</v>
      </c>
      <c r="P12" s="75" t="s">
        <v>29</v>
      </c>
      <c r="Q12" s="76">
        <v>284.01</v>
      </c>
      <c r="R12" s="75" t="s">
        <v>29</v>
      </c>
      <c r="S12" s="75" t="s">
        <v>29</v>
      </c>
      <c r="T12" s="85"/>
    </row>
    <row r="13" spans="1:51" x14ac:dyDescent="0.25">
      <c r="A13" s="70">
        <v>8</v>
      </c>
      <c r="B13" s="71" t="s">
        <v>409</v>
      </c>
      <c r="C13" s="72">
        <v>234</v>
      </c>
      <c r="D13" s="71" t="s">
        <v>410</v>
      </c>
      <c r="E13" s="71" t="s">
        <v>411</v>
      </c>
      <c r="F13" s="70">
        <v>1948</v>
      </c>
      <c r="G13" s="74">
        <v>5729.51</v>
      </c>
      <c r="H13" s="74">
        <v>2131.62</v>
      </c>
      <c r="I13" s="76">
        <v>5.96</v>
      </c>
      <c r="J13" s="75" t="s">
        <v>29</v>
      </c>
      <c r="K13" s="75" t="s">
        <v>29</v>
      </c>
      <c r="L13" s="75" t="s">
        <v>29</v>
      </c>
      <c r="M13" s="75" t="s">
        <v>29</v>
      </c>
      <c r="N13" s="75" t="s">
        <v>29</v>
      </c>
      <c r="O13" s="75" t="s">
        <v>29</v>
      </c>
      <c r="P13" s="75" t="s">
        <v>29</v>
      </c>
      <c r="Q13" s="74">
        <v>5729.51</v>
      </c>
      <c r="R13" s="74">
        <v>2125.66</v>
      </c>
      <c r="S13" s="76">
        <v>5.96</v>
      </c>
      <c r="T13" s="85">
        <f t="shared" si="0"/>
        <v>3603.8500000000004</v>
      </c>
    </row>
    <row r="14" spans="1:51" x14ac:dyDescent="0.25">
      <c r="A14" s="70">
        <v>11</v>
      </c>
      <c r="B14" s="71" t="s">
        <v>412</v>
      </c>
      <c r="C14" s="72">
        <v>241</v>
      </c>
      <c r="D14" s="71" t="s">
        <v>31</v>
      </c>
      <c r="E14" s="73">
        <v>78</v>
      </c>
      <c r="F14" s="70">
        <v>1919</v>
      </c>
      <c r="G14" s="74">
        <v>16994.419999999998</v>
      </c>
      <c r="H14" s="74">
        <v>2591.77</v>
      </c>
      <c r="I14" s="76">
        <v>14.9</v>
      </c>
      <c r="J14" s="75" t="s">
        <v>29</v>
      </c>
      <c r="K14" s="75" t="s">
        <v>29</v>
      </c>
      <c r="L14" s="75" t="s">
        <v>29</v>
      </c>
      <c r="M14" s="75" t="s">
        <v>29</v>
      </c>
      <c r="N14" s="75" t="s">
        <v>29</v>
      </c>
      <c r="O14" s="75" t="s">
        <v>29</v>
      </c>
      <c r="P14" s="75" t="s">
        <v>29</v>
      </c>
      <c r="Q14" s="74">
        <v>16994.419999999998</v>
      </c>
      <c r="R14" s="74">
        <v>2576.87</v>
      </c>
      <c r="S14" s="76">
        <v>14.9</v>
      </c>
      <c r="T14" s="85">
        <f t="shared" si="0"/>
        <v>14417.55</v>
      </c>
    </row>
    <row r="15" spans="1:51" x14ac:dyDescent="0.25">
      <c r="A15" s="70">
        <v>13</v>
      </c>
      <c r="B15" s="71" t="s">
        <v>413</v>
      </c>
      <c r="C15" s="72">
        <v>245</v>
      </c>
      <c r="D15" s="71" t="s">
        <v>70</v>
      </c>
      <c r="E15" s="73">
        <v>1</v>
      </c>
      <c r="F15" s="70">
        <v>1960</v>
      </c>
      <c r="G15" s="74">
        <v>49025</v>
      </c>
      <c r="H15" s="74">
        <v>32138.37</v>
      </c>
      <c r="I15" s="76">
        <v>64.02</v>
      </c>
      <c r="J15" s="75" t="s">
        <v>29</v>
      </c>
      <c r="K15" s="75" t="s">
        <v>29</v>
      </c>
      <c r="L15" s="75" t="s">
        <v>29</v>
      </c>
      <c r="M15" s="75" t="s">
        <v>29</v>
      </c>
      <c r="N15" s="75" t="s">
        <v>29</v>
      </c>
      <c r="O15" s="75" t="s">
        <v>29</v>
      </c>
      <c r="P15" s="75" t="s">
        <v>29</v>
      </c>
      <c r="Q15" s="74">
        <v>49025</v>
      </c>
      <c r="R15" s="74">
        <v>32074.35</v>
      </c>
      <c r="S15" s="76">
        <v>64.02</v>
      </c>
      <c r="T15" s="85">
        <f t="shared" si="0"/>
        <v>16950.650000000001</v>
      </c>
    </row>
    <row r="16" spans="1:51" x14ac:dyDescent="0.25">
      <c r="A16" s="70">
        <v>15</v>
      </c>
      <c r="B16" s="71" t="s">
        <v>414</v>
      </c>
      <c r="C16" s="72">
        <v>248</v>
      </c>
      <c r="D16" s="71" t="s">
        <v>70</v>
      </c>
      <c r="E16" s="73">
        <v>1</v>
      </c>
      <c r="F16" s="70">
        <v>1975</v>
      </c>
      <c r="G16" s="74">
        <v>118344</v>
      </c>
      <c r="H16" s="74">
        <v>52451.839999999997</v>
      </c>
      <c r="I16" s="76">
        <v>138.76</v>
      </c>
      <c r="J16" s="75" t="s">
        <v>29</v>
      </c>
      <c r="K16" s="75" t="s">
        <v>29</v>
      </c>
      <c r="L16" s="75" t="s">
        <v>29</v>
      </c>
      <c r="M16" s="75" t="s">
        <v>29</v>
      </c>
      <c r="N16" s="75" t="s">
        <v>29</v>
      </c>
      <c r="O16" s="75" t="s">
        <v>29</v>
      </c>
      <c r="P16" s="75" t="s">
        <v>29</v>
      </c>
      <c r="Q16" s="74">
        <v>118344</v>
      </c>
      <c r="R16" s="74">
        <v>52313.08</v>
      </c>
      <c r="S16" s="76">
        <v>138.76</v>
      </c>
      <c r="T16" s="85">
        <f t="shared" si="0"/>
        <v>66030.92</v>
      </c>
    </row>
    <row r="17" spans="1:20" x14ac:dyDescent="0.25">
      <c r="A17" s="70">
        <v>16</v>
      </c>
      <c r="B17" s="71" t="s">
        <v>415</v>
      </c>
      <c r="C17" s="72">
        <v>250</v>
      </c>
      <c r="D17" s="71" t="s">
        <v>28</v>
      </c>
      <c r="E17" s="73">
        <v>47</v>
      </c>
      <c r="F17" s="70">
        <v>1950</v>
      </c>
      <c r="G17" s="74">
        <v>1019780</v>
      </c>
      <c r="H17" s="74">
        <v>550046.24</v>
      </c>
      <c r="I17" s="74">
        <v>1329.92</v>
      </c>
      <c r="J17" s="75" t="s">
        <v>29</v>
      </c>
      <c r="K17" s="75" t="s">
        <v>29</v>
      </c>
      <c r="L17" s="75" t="s">
        <v>29</v>
      </c>
      <c r="M17" s="75" t="s">
        <v>29</v>
      </c>
      <c r="N17" s="75" t="s">
        <v>29</v>
      </c>
      <c r="O17" s="75" t="s">
        <v>29</v>
      </c>
      <c r="P17" s="75" t="s">
        <v>29</v>
      </c>
      <c r="Q17" s="74">
        <v>1019780</v>
      </c>
      <c r="R17" s="74">
        <v>548716.31999999995</v>
      </c>
      <c r="S17" s="74">
        <v>1329.92</v>
      </c>
      <c r="T17" s="85">
        <f t="shared" si="0"/>
        <v>471063.68000000005</v>
      </c>
    </row>
    <row r="18" spans="1:20" x14ac:dyDescent="0.25">
      <c r="A18" s="70">
        <v>17</v>
      </c>
      <c r="B18" s="71" t="s">
        <v>416</v>
      </c>
      <c r="C18" s="72">
        <v>251</v>
      </c>
      <c r="D18" s="71" t="s">
        <v>28</v>
      </c>
      <c r="E18" s="73">
        <v>47</v>
      </c>
      <c r="F18" s="70">
        <v>1950</v>
      </c>
      <c r="G18" s="74">
        <v>1710</v>
      </c>
      <c r="H18" s="75" t="s">
        <v>29</v>
      </c>
      <c r="I18" s="75" t="s">
        <v>29</v>
      </c>
      <c r="J18" s="75" t="s">
        <v>29</v>
      </c>
      <c r="K18" s="75" t="s">
        <v>29</v>
      </c>
      <c r="L18" s="75" t="s">
        <v>29</v>
      </c>
      <c r="M18" s="75" t="s">
        <v>29</v>
      </c>
      <c r="N18" s="75" t="s">
        <v>29</v>
      </c>
      <c r="O18" s="75" t="s">
        <v>29</v>
      </c>
      <c r="P18" s="75" t="s">
        <v>29</v>
      </c>
      <c r="Q18" s="74">
        <v>1710</v>
      </c>
      <c r="R18" s="75" t="s">
        <v>29</v>
      </c>
      <c r="S18" s="75" t="s">
        <v>29</v>
      </c>
      <c r="T18" s="85"/>
    </row>
    <row r="19" spans="1:20" x14ac:dyDescent="0.25">
      <c r="A19" s="70">
        <v>18</v>
      </c>
      <c r="B19" s="71" t="s">
        <v>417</v>
      </c>
      <c r="C19" s="72">
        <v>728</v>
      </c>
      <c r="D19" s="71" t="s">
        <v>50</v>
      </c>
      <c r="E19" s="71" t="s">
        <v>418</v>
      </c>
      <c r="F19" s="70">
        <v>2001</v>
      </c>
      <c r="G19" s="76">
        <v>475</v>
      </c>
      <c r="H19" s="75" t="s">
        <v>29</v>
      </c>
      <c r="I19" s="75" t="s">
        <v>29</v>
      </c>
      <c r="J19" s="75" t="s">
        <v>29</v>
      </c>
      <c r="K19" s="75" t="s">
        <v>29</v>
      </c>
      <c r="L19" s="75" t="s">
        <v>29</v>
      </c>
      <c r="M19" s="75" t="s">
        <v>29</v>
      </c>
      <c r="N19" s="75" t="s">
        <v>29</v>
      </c>
      <c r="O19" s="75" t="s">
        <v>29</v>
      </c>
      <c r="P19" s="75" t="s">
        <v>29</v>
      </c>
      <c r="Q19" s="76">
        <v>475</v>
      </c>
      <c r="R19" s="75" t="s">
        <v>29</v>
      </c>
      <c r="S19" s="75" t="s">
        <v>29</v>
      </c>
      <c r="T19" s="85"/>
    </row>
    <row r="20" spans="1:20" x14ac:dyDescent="0.25">
      <c r="A20" s="70">
        <v>20</v>
      </c>
      <c r="B20" s="71" t="s">
        <v>419</v>
      </c>
      <c r="C20" s="72">
        <v>757</v>
      </c>
      <c r="D20" s="71" t="s">
        <v>77</v>
      </c>
      <c r="E20" s="73">
        <v>4</v>
      </c>
      <c r="F20" s="70">
        <v>1898</v>
      </c>
      <c r="G20" s="74">
        <v>5801</v>
      </c>
      <c r="H20" s="75" t="s">
        <v>29</v>
      </c>
      <c r="I20" s="75" t="s">
        <v>29</v>
      </c>
      <c r="J20" s="75" t="s">
        <v>29</v>
      </c>
      <c r="K20" s="75" t="s">
        <v>29</v>
      </c>
      <c r="L20" s="75" t="s">
        <v>29</v>
      </c>
      <c r="M20" s="75" t="s">
        <v>29</v>
      </c>
      <c r="N20" s="75" t="s">
        <v>29</v>
      </c>
      <c r="O20" s="75" t="s">
        <v>29</v>
      </c>
      <c r="P20" s="75" t="s">
        <v>29</v>
      </c>
      <c r="Q20" s="74">
        <v>5801</v>
      </c>
      <c r="R20" s="75" t="s">
        <v>29</v>
      </c>
      <c r="S20" s="75" t="s">
        <v>29</v>
      </c>
      <c r="T20" s="85"/>
    </row>
    <row r="21" spans="1:20" x14ac:dyDescent="0.25">
      <c r="A21" s="70">
        <v>21</v>
      </c>
      <c r="B21" s="71" t="s">
        <v>420</v>
      </c>
      <c r="C21" s="72">
        <v>332</v>
      </c>
      <c r="D21" s="71" t="s">
        <v>107</v>
      </c>
      <c r="E21" s="71" t="s">
        <v>421</v>
      </c>
      <c r="F21" s="70">
        <v>1970</v>
      </c>
      <c r="G21" s="74">
        <v>1614.83</v>
      </c>
      <c r="H21" s="75" t="s">
        <v>29</v>
      </c>
      <c r="I21" s="75" t="s">
        <v>29</v>
      </c>
      <c r="J21" s="75" t="s">
        <v>29</v>
      </c>
      <c r="K21" s="75" t="s">
        <v>29</v>
      </c>
      <c r="L21" s="75" t="s">
        <v>29</v>
      </c>
      <c r="M21" s="75" t="s">
        <v>29</v>
      </c>
      <c r="N21" s="75" t="s">
        <v>29</v>
      </c>
      <c r="O21" s="75" t="s">
        <v>29</v>
      </c>
      <c r="P21" s="75" t="s">
        <v>29</v>
      </c>
      <c r="Q21" s="74">
        <v>1614.83</v>
      </c>
      <c r="R21" s="75" t="s">
        <v>29</v>
      </c>
      <c r="S21" s="75" t="s">
        <v>29</v>
      </c>
      <c r="T21" s="85"/>
    </row>
    <row r="22" spans="1:20" x14ac:dyDescent="0.25">
      <c r="A22" s="70">
        <v>22</v>
      </c>
      <c r="B22" s="71" t="s">
        <v>422</v>
      </c>
      <c r="C22" s="72">
        <v>333</v>
      </c>
      <c r="D22" s="71" t="s">
        <v>158</v>
      </c>
      <c r="E22" s="71" t="s">
        <v>421</v>
      </c>
      <c r="F22" s="70">
        <v>1970</v>
      </c>
      <c r="G22" s="74">
        <v>141540</v>
      </c>
      <c r="H22" s="74">
        <v>51450.58</v>
      </c>
      <c r="I22" s="76">
        <v>82.72</v>
      </c>
      <c r="J22" s="75" t="s">
        <v>29</v>
      </c>
      <c r="K22" s="75" t="s">
        <v>29</v>
      </c>
      <c r="L22" s="75" t="s">
        <v>29</v>
      </c>
      <c r="M22" s="75" t="s">
        <v>29</v>
      </c>
      <c r="N22" s="75" t="s">
        <v>29</v>
      </c>
      <c r="O22" s="75" t="s">
        <v>29</v>
      </c>
      <c r="P22" s="75" t="s">
        <v>29</v>
      </c>
      <c r="Q22" s="74">
        <v>141540</v>
      </c>
      <c r="R22" s="74">
        <v>51367.86</v>
      </c>
      <c r="S22" s="76">
        <v>82.72</v>
      </c>
      <c r="T22" s="85">
        <f t="shared" si="0"/>
        <v>90172.14</v>
      </c>
    </row>
    <row r="23" spans="1:20" x14ac:dyDescent="0.25">
      <c r="A23" s="70">
        <v>23</v>
      </c>
      <c r="B23" s="71" t="s">
        <v>423</v>
      </c>
      <c r="C23" s="72">
        <v>334</v>
      </c>
      <c r="D23" s="71" t="s">
        <v>158</v>
      </c>
      <c r="E23" s="71" t="s">
        <v>421</v>
      </c>
      <c r="F23" s="70">
        <v>1970</v>
      </c>
      <c r="G23" s="74">
        <v>9795.31</v>
      </c>
      <c r="H23" s="74">
        <v>4191.3</v>
      </c>
      <c r="I23" s="76">
        <v>6.74</v>
      </c>
      <c r="J23" s="75" t="s">
        <v>29</v>
      </c>
      <c r="K23" s="75" t="s">
        <v>29</v>
      </c>
      <c r="L23" s="75" t="s">
        <v>29</v>
      </c>
      <c r="M23" s="75" t="s">
        <v>29</v>
      </c>
      <c r="N23" s="75" t="s">
        <v>29</v>
      </c>
      <c r="O23" s="75" t="s">
        <v>29</v>
      </c>
      <c r="P23" s="75" t="s">
        <v>29</v>
      </c>
      <c r="Q23" s="74">
        <v>9795.31</v>
      </c>
      <c r="R23" s="74">
        <v>4184.5600000000004</v>
      </c>
      <c r="S23" s="76">
        <v>6.74</v>
      </c>
      <c r="T23" s="85">
        <f t="shared" si="0"/>
        <v>5610.7499999999991</v>
      </c>
    </row>
    <row r="24" spans="1:20" x14ac:dyDescent="0.25">
      <c r="A24" s="70">
        <v>24</v>
      </c>
      <c r="B24" s="71" t="s">
        <v>424</v>
      </c>
      <c r="C24" s="72">
        <v>336</v>
      </c>
      <c r="D24" s="71" t="s">
        <v>425</v>
      </c>
      <c r="E24" s="71" t="s">
        <v>426</v>
      </c>
      <c r="F24" s="70">
        <v>1960</v>
      </c>
      <c r="G24" s="74">
        <v>5383.37</v>
      </c>
      <c r="H24" s="74">
        <v>2363.4</v>
      </c>
      <c r="I24" s="76">
        <v>4.6100000000000003</v>
      </c>
      <c r="J24" s="75" t="s">
        <v>29</v>
      </c>
      <c r="K24" s="75" t="s">
        <v>29</v>
      </c>
      <c r="L24" s="75" t="s">
        <v>29</v>
      </c>
      <c r="M24" s="75" t="s">
        <v>29</v>
      </c>
      <c r="N24" s="75" t="s">
        <v>29</v>
      </c>
      <c r="O24" s="75" t="s">
        <v>29</v>
      </c>
      <c r="P24" s="75" t="s">
        <v>29</v>
      </c>
      <c r="Q24" s="74">
        <v>5383.37</v>
      </c>
      <c r="R24" s="74">
        <v>2358.79</v>
      </c>
      <c r="S24" s="76">
        <v>4.6100000000000003</v>
      </c>
      <c r="T24" s="85">
        <f t="shared" si="0"/>
        <v>3024.58</v>
      </c>
    </row>
    <row r="25" spans="1:20" x14ac:dyDescent="0.25">
      <c r="A25" s="70">
        <v>30</v>
      </c>
      <c r="B25" s="71" t="s">
        <v>427</v>
      </c>
      <c r="C25" s="72">
        <v>461</v>
      </c>
      <c r="D25" s="71" t="s">
        <v>204</v>
      </c>
      <c r="E25" s="73">
        <v>33</v>
      </c>
      <c r="F25" s="70">
        <v>1948</v>
      </c>
      <c r="G25" s="74">
        <v>38874.46</v>
      </c>
      <c r="H25" s="74">
        <v>4659.05</v>
      </c>
      <c r="I25" s="76">
        <v>12.97</v>
      </c>
      <c r="J25" s="75" t="s">
        <v>29</v>
      </c>
      <c r="K25" s="75" t="s">
        <v>29</v>
      </c>
      <c r="L25" s="75" t="s">
        <v>29</v>
      </c>
      <c r="M25" s="75" t="s">
        <v>29</v>
      </c>
      <c r="N25" s="75" t="s">
        <v>29</v>
      </c>
      <c r="O25" s="75" t="s">
        <v>29</v>
      </c>
      <c r="P25" s="75" t="s">
        <v>29</v>
      </c>
      <c r="Q25" s="74">
        <v>38874.46</v>
      </c>
      <c r="R25" s="74">
        <v>4646.08</v>
      </c>
      <c r="S25" s="76">
        <v>12.97</v>
      </c>
      <c r="T25" s="85">
        <f t="shared" si="0"/>
        <v>34228.379999999997</v>
      </c>
    </row>
    <row r="26" spans="1:20" x14ac:dyDescent="0.25">
      <c r="A26" s="70">
        <v>31</v>
      </c>
      <c r="B26" s="71" t="s">
        <v>428</v>
      </c>
      <c r="C26" s="72">
        <v>535</v>
      </c>
      <c r="D26" s="71" t="s">
        <v>37</v>
      </c>
      <c r="E26" s="73">
        <v>41</v>
      </c>
      <c r="F26" s="70">
        <v>1939</v>
      </c>
      <c r="G26" s="74">
        <v>6417.5</v>
      </c>
      <c r="H26" s="75" t="s">
        <v>29</v>
      </c>
      <c r="I26" s="75" t="s">
        <v>29</v>
      </c>
      <c r="J26" s="75" t="s">
        <v>29</v>
      </c>
      <c r="K26" s="75" t="s">
        <v>29</v>
      </c>
      <c r="L26" s="75" t="s">
        <v>29</v>
      </c>
      <c r="M26" s="75" t="s">
        <v>29</v>
      </c>
      <c r="N26" s="75" t="s">
        <v>29</v>
      </c>
      <c r="O26" s="75" t="s">
        <v>29</v>
      </c>
      <c r="P26" s="75" t="s">
        <v>29</v>
      </c>
      <c r="Q26" s="74">
        <v>6417.5</v>
      </c>
      <c r="R26" s="75" t="s">
        <v>29</v>
      </c>
      <c r="S26" s="75" t="s">
        <v>29</v>
      </c>
      <c r="T26" s="85"/>
    </row>
    <row r="27" spans="1:20" x14ac:dyDescent="0.25">
      <c r="A27" s="70">
        <v>32</v>
      </c>
      <c r="B27" s="71" t="s">
        <v>429</v>
      </c>
      <c r="C27" s="72">
        <v>536</v>
      </c>
      <c r="D27" s="71" t="s">
        <v>247</v>
      </c>
      <c r="E27" s="73">
        <v>45</v>
      </c>
      <c r="F27" s="70">
        <v>1930</v>
      </c>
      <c r="G27" s="74">
        <v>19454.599999999999</v>
      </c>
      <c r="H27" s="75" t="s">
        <v>29</v>
      </c>
      <c r="I27" s="75" t="s">
        <v>29</v>
      </c>
      <c r="J27" s="75" t="s">
        <v>29</v>
      </c>
      <c r="K27" s="75" t="s">
        <v>29</v>
      </c>
      <c r="L27" s="75" t="s">
        <v>29</v>
      </c>
      <c r="M27" s="75" t="s">
        <v>29</v>
      </c>
      <c r="N27" s="75" t="s">
        <v>29</v>
      </c>
      <c r="O27" s="75" t="s">
        <v>29</v>
      </c>
      <c r="P27" s="75" t="s">
        <v>29</v>
      </c>
      <c r="Q27" s="74">
        <v>19454.599999999999</v>
      </c>
      <c r="R27" s="75" t="s">
        <v>29</v>
      </c>
      <c r="S27" s="75" t="s">
        <v>29</v>
      </c>
      <c r="T27" s="85"/>
    </row>
    <row r="28" spans="1:20" x14ac:dyDescent="0.25">
      <c r="A28" s="70">
        <v>33</v>
      </c>
      <c r="B28" s="71" t="s">
        <v>430</v>
      </c>
      <c r="C28" s="72">
        <v>537</v>
      </c>
      <c r="D28" s="71" t="s">
        <v>431</v>
      </c>
      <c r="E28" s="73">
        <v>3</v>
      </c>
      <c r="F28" s="70">
        <v>1948</v>
      </c>
      <c r="G28" s="74">
        <v>27495.96</v>
      </c>
      <c r="H28" s="75" t="s">
        <v>29</v>
      </c>
      <c r="I28" s="75" t="s">
        <v>29</v>
      </c>
      <c r="J28" s="75" t="s">
        <v>29</v>
      </c>
      <c r="K28" s="75" t="s">
        <v>29</v>
      </c>
      <c r="L28" s="75" t="s">
        <v>29</v>
      </c>
      <c r="M28" s="75" t="s">
        <v>29</v>
      </c>
      <c r="N28" s="75" t="s">
        <v>29</v>
      </c>
      <c r="O28" s="75" t="s">
        <v>29</v>
      </c>
      <c r="P28" s="75" t="s">
        <v>29</v>
      </c>
      <c r="Q28" s="74">
        <v>27495.96</v>
      </c>
      <c r="R28" s="75" t="s">
        <v>29</v>
      </c>
      <c r="S28" s="75" t="s">
        <v>29</v>
      </c>
      <c r="T28" s="85"/>
    </row>
    <row r="29" spans="1:20" x14ac:dyDescent="0.25">
      <c r="A29" s="70">
        <v>36</v>
      </c>
      <c r="B29" s="71" t="s">
        <v>432</v>
      </c>
      <c r="C29" s="72">
        <v>550</v>
      </c>
      <c r="D29" s="71" t="s">
        <v>158</v>
      </c>
      <c r="E29" s="71" t="s">
        <v>421</v>
      </c>
      <c r="F29" s="70">
        <v>1970</v>
      </c>
      <c r="G29" s="76">
        <v>636.27</v>
      </c>
      <c r="H29" s="75" t="s">
        <v>29</v>
      </c>
      <c r="I29" s="75" t="s">
        <v>29</v>
      </c>
      <c r="J29" s="75" t="s">
        <v>29</v>
      </c>
      <c r="K29" s="75" t="s">
        <v>29</v>
      </c>
      <c r="L29" s="75" t="s">
        <v>29</v>
      </c>
      <c r="M29" s="75" t="s">
        <v>29</v>
      </c>
      <c r="N29" s="75" t="s">
        <v>29</v>
      </c>
      <c r="O29" s="75" t="s">
        <v>29</v>
      </c>
      <c r="P29" s="75" t="s">
        <v>29</v>
      </c>
      <c r="Q29" s="76">
        <v>636.27</v>
      </c>
      <c r="R29" s="75" t="s">
        <v>29</v>
      </c>
      <c r="S29" s="75" t="s">
        <v>29</v>
      </c>
      <c r="T29" s="85"/>
    </row>
    <row r="30" spans="1:20" x14ac:dyDescent="0.25">
      <c r="A30" s="70">
        <v>37</v>
      </c>
      <c r="B30" s="71" t="s">
        <v>433</v>
      </c>
      <c r="C30" s="72">
        <v>551</v>
      </c>
      <c r="D30" s="71" t="s">
        <v>158</v>
      </c>
      <c r="E30" s="71" t="s">
        <v>421</v>
      </c>
      <c r="F30" s="70">
        <v>1970</v>
      </c>
      <c r="G30" s="74">
        <v>5474.36</v>
      </c>
      <c r="H30" s="74">
        <v>1792.69</v>
      </c>
      <c r="I30" s="76">
        <v>2.88</v>
      </c>
      <c r="J30" s="75" t="s">
        <v>29</v>
      </c>
      <c r="K30" s="75" t="s">
        <v>29</v>
      </c>
      <c r="L30" s="75" t="s">
        <v>29</v>
      </c>
      <c r="M30" s="75" t="s">
        <v>29</v>
      </c>
      <c r="N30" s="75" t="s">
        <v>29</v>
      </c>
      <c r="O30" s="75" t="s">
        <v>29</v>
      </c>
      <c r="P30" s="75" t="s">
        <v>29</v>
      </c>
      <c r="Q30" s="74">
        <v>5474.36</v>
      </c>
      <c r="R30" s="74">
        <v>1789.81</v>
      </c>
      <c r="S30" s="76">
        <v>2.88</v>
      </c>
      <c r="T30" s="85">
        <f t="shared" si="0"/>
        <v>3684.5499999999997</v>
      </c>
    </row>
    <row r="31" spans="1:20" x14ac:dyDescent="0.25">
      <c r="A31" s="70">
        <v>38</v>
      </c>
      <c r="B31" s="71" t="s">
        <v>434</v>
      </c>
      <c r="C31" s="72">
        <v>552</v>
      </c>
      <c r="D31" s="71" t="s">
        <v>425</v>
      </c>
      <c r="E31" s="71" t="s">
        <v>426</v>
      </c>
      <c r="F31" s="70">
        <v>1970</v>
      </c>
      <c r="G31" s="76">
        <v>308.5</v>
      </c>
      <c r="H31" s="75" t="s">
        <v>29</v>
      </c>
      <c r="I31" s="75" t="s">
        <v>29</v>
      </c>
      <c r="J31" s="75" t="s">
        <v>29</v>
      </c>
      <c r="K31" s="75" t="s">
        <v>29</v>
      </c>
      <c r="L31" s="75" t="s">
        <v>29</v>
      </c>
      <c r="M31" s="75" t="s">
        <v>29</v>
      </c>
      <c r="N31" s="75" t="s">
        <v>29</v>
      </c>
      <c r="O31" s="75" t="s">
        <v>29</v>
      </c>
      <c r="P31" s="75" t="s">
        <v>29</v>
      </c>
      <c r="Q31" s="76">
        <v>308.5</v>
      </c>
      <c r="R31" s="75" t="s">
        <v>29</v>
      </c>
      <c r="S31" s="75" t="s">
        <v>29</v>
      </c>
      <c r="T31" s="85"/>
    </row>
    <row r="32" spans="1:20" x14ac:dyDescent="0.25">
      <c r="A32" s="70">
        <v>39</v>
      </c>
      <c r="B32" s="71" t="s">
        <v>435</v>
      </c>
      <c r="C32" s="72">
        <v>553</v>
      </c>
      <c r="D32" s="71" t="s">
        <v>158</v>
      </c>
      <c r="E32" s="71" t="s">
        <v>421</v>
      </c>
      <c r="F32" s="70">
        <v>1970</v>
      </c>
      <c r="G32" s="74">
        <v>4670</v>
      </c>
      <c r="H32" s="74">
        <v>4051.77</v>
      </c>
      <c r="I32" s="76">
        <v>6.51</v>
      </c>
      <c r="J32" s="75" t="s">
        <v>29</v>
      </c>
      <c r="K32" s="75" t="s">
        <v>29</v>
      </c>
      <c r="L32" s="75" t="s">
        <v>29</v>
      </c>
      <c r="M32" s="75" t="s">
        <v>29</v>
      </c>
      <c r="N32" s="75" t="s">
        <v>29</v>
      </c>
      <c r="O32" s="75" t="s">
        <v>29</v>
      </c>
      <c r="P32" s="75" t="s">
        <v>29</v>
      </c>
      <c r="Q32" s="74">
        <v>4670</v>
      </c>
      <c r="R32" s="74">
        <v>4045.26</v>
      </c>
      <c r="S32" s="76">
        <v>6.51</v>
      </c>
      <c r="T32" s="85">
        <f t="shared" si="0"/>
        <v>624.73999999999978</v>
      </c>
    </row>
    <row r="33" spans="1:20" x14ac:dyDescent="0.25">
      <c r="A33" s="70">
        <v>40</v>
      </c>
      <c r="B33" s="71" t="s">
        <v>436</v>
      </c>
      <c r="C33" s="72">
        <v>554</v>
      </c>
      <c r="D33" s="71" t="s">
        <v>158</v>
      </c>
      <c r="E33" s="71" t="s">
        <v>421</v>
      </c>
      <c r="F33" s="70">
        <v>1970</v>
      </c>
      <c r="G33" s="74">
        <v>12808</v>
      </c>
      <c r="H33" s="74">
        <v>11673.52</v>
      </c>
      <c r="I33" s="76">
        <v>11.33</v>
      </c>
      <c r="J33" s="75" t="s">
        <v>29</v>
      </c>
      <c r="K33" s="75" t="s">
        <v>29</v>
      </c>
      <c r="L33" s="75" t="s">
        <v>29</v>
      </c>
      <c r="M33" s="75" t="s">
        <v>29</v>
      </c>
      <c r="N33" s="75" t="s">
        <v>29</v>
      </c>
      <c r="O33" s="75" t="s">
        <v>29</v>
      </c>
      <c r="P33" s="75" t="s">
        <v>29</v>
      </c>
      <c r="Q33" s="74">
        <v>12808</v>
      </c>
      <c r="R33" s="74">
        <v>11662.19</v>
      </c>
      <c r="S33" s="76">
        <v>11.33</v>
      </c>
      <c r="T33" s="85">
        <f t="shared" si="0"/>
        <v>1145.8099999999995</v>
      </c>
    </row>
    <row r="34" spans="1:20" x14ac:dyDescent="0.25">
      <c r="A34" s="70">
        <v>42</v>
      </c>
      <c r="B34" s="71" t="s">
        <v>437</v>
      </c>
      <c r="C34" s="72">
        <v>613</v>
      </c>
      <c r="D34" s="71" t="s">
        <v>252</v>
      </c>
      <c r="E34" s="73">
        <v>83</v>
      </c>
      <c r="F34" s="70">
        <v>1939</v>
      </c>
      <c r="G34" s="74">
        <v>274476</v>
      </c>
      <c r="H34" s="75" t="s">
        <v>29</v>
      </c>
      <c r="I34" s="75" t="s">
        <v>29</v>
      </c>
      <c r="J34" s="75" t="s">
        <v>29</v>
      </c>
      <c r="K34" s="75" t="s">
        <v>29</v>
      </c>
      <c r="L34" s="75" t="s">
        <v>29</v>
      </c>
      <c r="M34" s="75" t="s">
        <v>29</v>
      </c>
      <c r="N34" s="75" t="s">
        <v>29</v>
      </c>
      <c r="O34" s="75" t="s">
        <v>29</v>
      </c>
      <c r="P34" s="75" t="s">
        <v>29</v>
      </c>
      <c r="Q34" s="74">
        <v>274476</v>
      </c>
      <c r="R34" s="75" t="s">
        <v>29</v>
      </c>
      <c r="S34" s="75" t="s">
        <v>29</v>
      </c>
      <c r="T34" s="85"/>
    </row>
    <row r="35" spans="1:20" x14ac:dyDescent="0.25">
      <c r="A35" s="70">
        <v>43</v>
      </c>
      <c r="B35" s="71" t="s">
        <v>438</v>
      </c>
      <c r="C35" s="72">
        <v>614</v>
      </c>
      <c r="D35" s="71" t="s">
        <v>252</v>
      </c>
      <c r="E35" s="73">
        <v>83</v>
      </c>
      <c r="F35" s="70">
        <v>1939</v>
      </c>
      <c r="G35" s="74">
        <v>25604</v>
      </c>
      <c r="H35" s="75" t="s">
        <v>29</v>
      </c>
      <c r="I35" s="75" t="s">
        <v>29</v>
      </c>
      <c r="J35" s="75" t="s">
        <v>29</v>
      </c>
      <c r="K35" s="75" t="s">
        <v>29</v>
      </c>
      <c r="L35" s="75" t="s">
        <v>29</v>
      </c>
      <c r="M35" s="75" t="s">
        <v>29</v>
      </c>
      <c r="N35" s="75" t="s">
        <v>29</v>
      </c>
      <c r="O35" s="75" t="s">
        <v>29</v>
      </c>
      <c r="P35" s="75" t="s">
        <v>29</v>
      </c>
      <c r="Q35" s="74">
        <v>25604</v>
      </c>
      <c r="R35" s="75" t="s">
        <v>29</v>
      </c>
      <c r="S35" s="75" t="s">
        <v>29</v>
      </c>
      <c r="T35" s="85"/>
    </row>
    <row r="36" spans="1:20" x14ac:dyDescent="0.25">
      <c r="A36" s="70">
        <v>44</v>
      </c>
      <c r="B36" s="71" t="s">
        <v>439</v>
      </c>
      <c r="C36" s="72">
        <v>684</v>
      </c>
      <c r="D36" s="71" t="s">
        <v>50</v>
      </c>
      <c r="E36" s="73">
        <v>25</v>
      </c>
      <c r="F36" s="70">
        <v>2013</v>
      </c>
      <c r="G36" s="74">
        <v>30000</v>
      </c>
      <c r="H36" s="74">
        <v>24285.439999999999</v>
      </c>
      <c r="I36" s="76">
        <v>89.29</v>
      </c>
      <c r="J36" s="75" t="s">
        <v>29</v>
      </c>
      <c r="K36" s="75" t="s">
        <v>29</v>
      </c>
      <c r="L36" s="75" t="s">
        <v>29</v>
      </c>
      <c r="M36" s="75" t="s">
        <v>29</v>
      </c>
      <c r="N36" s="75" t="s">
        <v>29</v>
      </c>
      <c r="O36" s="75" t="s">
        <v>29</v>
      </c>
      <c r="P36" s="75" t="s">
        <v>29</v>
      </c>
      <c r="Q36" s="74">
        <v>30000</v>
      </c>
      <c r="R36" s="74">
        <v>24196.15</v>
      </c>
      <c r="S36" s="76">
        <v>89.29</v>
      </c>
      <c r="T36" s="85">
        <f t="shared" si="0"/>
        <v>5803.8499999999985</v>
      </c>
    </row>
    <row r="37" spans="1:20" x14ac:dyDescent="0.25">
      <c r="A37" s="70">
        <v>45</v>
      </c>
      <c r="B37" s="71" t="s">
        <v>440</v>
      </c>
      <c r="C37" s="72">
        <v>717</v>
      </c>
      <c r="D37" s="71" t="s">
        <v>252</v>
      </c>
      <c r="E37" s="73">
        <v>6</v>
      </c>
      <c r="F37" s="70">
        <v>2014</v>
      </c>
      <c r="G37" s="74">
        <v>1582000</v>
      </c>
      <c r="H37" s="74">
        <v>1501016.81</v>
      </c>
      <c r="I37" s="74">
        <v>1883.33</v>
      </c>
      <c r="J37" s="75" t="s">
        <v>29</v>
      </c>
      <c r="K37" s="75" t="s">
        <v>29</v>
      </c>
      <c r="L37" s="75" t="s">
        <v>29</v>
      </c>
      <c r="M37" s="75" t="s">
        <v>29</v>
      </c>
      <c r="N37" s="75" t="s">
        <v>29</v>
      </c>
      <c r="O37" s="75" t="s">
        <v>29</v>
      </c>
      <c r="P37" s="75" t="s">
        <v>29</v>
      </c>
      <c r="Q37" s="74">
        <v>1582000</v>
      </c>
      <c r="R37" s="74">
        <v>1499133.48</v>
      </c>
      <c r="S37" s="74">
        <v>1883.33</v>
      </c>
      <c r="T37" s="85">
        <f t="shared" si="0"/>
        <v>82866.520000000019</v>
      </c>
    </row>
    <row r="38" spans="1:20" x14ac:dyDescent="0.25">
      <c r="A38" s="70">
        <v>46</v>
      </c>
      <c r="B38" s="71" t="s">
        <v>441</v>
      </c>
      <c r="C38" s="72">
        <v>718</v>
      </c>
      <c r="D38" s="71" t="s">
        <v>252</v>
      </c>
      <c r="E38" s="71" t="s">
        <v>442</v>
      </c>
      <c r="F38" s="70">
        <v>2014</v>
      </c>
      <c r="G38" s="74">
        <v>930400</v>
      </c>
      <c r="H38" s="74">
        <v>882772.34</v>
      </c>
      <c r="I38" s="74">
        <v>1107.6199999999999</v>
      </c>
      <c r="J38" s="75" t="s">
        <v>29</v>
      </c>
      <c r="K38" s="75" t="s">
        <v>29</v>
      </c>
      <c r="L38" s="75" t="s">
        <v>29</v>
      </c>
      <c r="M38" s="75" t="s">
        <v>29</v>
      </c>
      <c r="N38" s="75" t="s">
        <v>29</v>
      </c>
      <c r="O38" s="75" t="s">
        <v>29</v>
      </c>
      <c r="P38" s="75" t="s">
        <v>29</v>
      </c>
      <c r="Q38" s="74">
        <v>930400</v>
      </c>
      <c r="R38" s="74">
        <v>881664.72</v>
      </c>
      <c r="S38" s="74">
        <v>1107.6199999999999</v>
      </c>
      <c r="T38" s="85">
        <f t="shared" si="0"/>
        <v>48735.280000000028</v>
      </c>
    </row>
    <row r="39" spans="1:20" x14ac:dyDescent="0.25">
      <c r="A39" s="70">
        <v>47</v>
      </c>
      <c r="B39" s="71" t="s">
        <v>443</v>
      </c>
      <c r="C39" s="72">
        <v>719</v>
      </c>
      <c r="D39" s="71" t="s">
        <v>252</v>
      </c>
      <c r="E39" s="71" t="s">
        <v>444</v>
      </c>
      <c r="F39" s="70">
        <v>2014</v>
      </c>
      <c r="G39" s="74">
        <v>40950</v>
      </c>
      <c r="H39" s="74">
        <v>38853.75</v>
      </c>
      <c r="I39" s="76">
        <v>48.75</v>
      </c>
      <c r="J39" s="75" t="s">
        <v>29</v>
      </c>
      <c r="K39" s="75" t="s">
        <v>29</v>
      </c>
      <c r="L39" s="75" t="s">
        <v>29</v>
      </c>
      <c r="M39" s="75" t="s">
        <v>29</v>
      </c>
      <c r="N39" s="75" t="s">
        <v>29</v>
      </c>
      <c r="O39" s="75" t="s">
        <v>29</v>
      </c>
      <c r="P39" s="75" t="s">
        <v>29</v>
      </c>
      <c r="Q39" s="74">
        <v>40950</v>
      </c>
      <c r="R39" s="74">
        <v>38805</v>
      </c>
      <c r="S39" s="76">
        <v>48.75</v>
      </c>
      <c r="T39" s="85">
        <f t="shared" si="0"/>
        <v>2145</v>
      </c>
    </row>
    <row r="40" spans="1:20" x14ac:dyDescent="0.25">
      <c r="A40" s="70">
        <v>48</v>
      </c>
      <c r="B40" s="71" t="s">
        <v>445</v>
      </c>
      <c r="C40" s="72">
        <v>720</v>
      </c>
      <c r="D40" s="71" t="s">
        <v>252</v>
      </c>
      <c r="E40" s="71" t="s">
        <v>446</v>
      </c>
      <c r="F40" s="70">
        <v>2014</v>
      </c>
      <c r="G40" s="74">
        <v>17000</v>
      </c>
      <c r="H40" s="74">
        <v>16129.68</v>
      </c>
      <c r="I40" s="76">
        <v>20.239999999999998</v>
      </c>
      <c r="J40" s="75" t="s">
        <v>29</v>
      </c>
      <c r="K40" s="75" t="s">
        <v>29</v>
      </c>
      <c r="L40" s="75" t="s">
        <v>29</v>
      </c>
      <c r="M40" s="75" t="s">
        <v>29</v>
      </c>
      <c r="N40" s="75" t="s">
        <v>29</v>
      </c>
      <c r="O40" s="75" t="s">
        <v>29</v>
      </c>
      <c r="P40" s="75" t="s">
        <v>29</v>
      </c>
      <c r="Q40" s="74">
        <v>17000</v>
      </c>
      <c r="R40" s="74">
        <v>16109.44</v>
      </c>
      <c r="S40" s="76">
        <v>20.239999999999998</v>
      </c>
      <c r="T40" s="85">
        <f t="shared" si="0"/>
        <v>890.55999999999949</v>
      </c>
    </row>
    <row r="41" spans="1:20" x14ac:dyDescent="0.25">
      <c r="A41" s="70">
        <v>51</v>
      </c>
      <c r="B41" s="71" t="s">
        <v>447</v>
      </c>
      <c r="C41" s="72">
        <v>737</v>
      </c>
      <c r="D41" s="71" t="s">
        <v>46</v>
      </c>
      <c r="E41" s="73">
        <v>14</v>
      </c>
      <c r="F41" s="70">
        <v>1939</v>
      </c>
      <c r="G41" s="74">
        <v>71304.45</v>
      </c>
      <c r="H41" s="74">
        <v>70567.13</v>
      </c>
      <c r="I41" s="76">
        <v>212.22</v>
      </c>
      <c r="J41" s="75" t="s">
        <v>29</v>
      </c>
      <c r="K41" s="75" t="s">
        <v>29</v>
      </c>
      <c r="L41" s="75" t="s">
        <v>29</v>
      </c>
      <c r="M41" s="75" t="s">
        <v>29</v>
      </c>
      <c r="N41" s="75" t="s">
        <v>29</v>
      </c>
      <c r="O41" s="75" t="s">
        <v>29</v>
      </c>
      <c r="P41" s="75" t="s">
        <v>29</v>
      </c>
      <c r="Q41" s="74">
        <v>71304.45</v>
      </c>
      <c r="R41" s="74">
        <v>70354.91</v>
      </c>
      <c r="S41" s="76">
        <v>212.22</v>
      </c>
      <c r="T41" s="85">
        <f t="shared" si="0"/>
        <v>949.5399999999936</v>
      </c>
    </row>
    <row r="42" spans="1:20" x14ac:dyDescent="0.25">
      <c r="A42" s="77"/>
      <c r="B42" s="78"/>
      <c r="C42" s="78"/>
      <c r="D42" s="78"/>
      <c r="E42" s="78"/>
      <c r="F42" s="79" t="s">
        <v>275</v>
      </c>
      <c r="G42" s="80">
        <v>4487402.7699999996</v>
      </c>
      <c r="H42" s="80">
        <v>3254290.16</v>
      </c>
      <c r="I42" s="80">
        <v>5051.38</v>
      </c>
      <c r="J42" s="81" t="s">
        <v>29</v>
      </c>
      <c r="K42" s="81" t="s">
        <v>29</v>
      </c>
      <c r="L42" s="81" t="s">
        <v>29</v>
      </c>
      <c r="M42" s="81" t="s">
        <v>29</v>
      </c>
      <c r="N42" s="81" t="s">
        <v>29</v>
      </c>
      <c r="O42" s="81" t="s">
        <v>29</v>
      </c>
      <c r="P42" s="81" t="s">
        <v>29</v>
      </c>
      <c r="Q42" s="80">
        <v>4487402.7699999996</v>
      </c>
      <c r="R42" s="80">
        <v>3249238.78</v>
      </c>
      <c r="S42" s="80">
        <v>5051.38</v>
      </c>
      <c r="T42" s="85">
        <f t="shared" si="0"/>
        <v>1238163.9899999998</v>
      </c>
    </row>
    <row r="43" spans="1:20" x14ac:dyDescent="0.25">
      <c r="A43" s="63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</row>
    <row r="44" spans="1:20" x14ac:dyDescent="0.25">
      <c r="A44" s="77"/>
      <c r="B44" s="78"/>
      <c r="C44" s="78"/>
      <c r="D44" s="78"/>
      <c r="E44" s="78"/>
      <c r="F44" s="79" t="s">
        <v>275</v>
      </c>
      <c r="G44" s="81" t="s">
        <v>29</v>
      </c>
      <c r="H44" s="81" t="s">
        <v>29</v>
      </c>
      <c r="I44" s="81" t="s">
        <v>29</v>
      </c>
      <c r="J44" s="81" t="s">
        <v>29</v>
      </c>
      <c r="K44" s="81" t="s">
        <v>29</v>
      </c>
      <c r="L44" s="81" t="s">
        <v>29</v>
      </c>
      <c r="M44" s="81" t="s">
        <v>29</v>
      </c>
      <c r="N44" s="81" t="s">
        <v>29</v>
      </c>
      <c r="O44" s="81" t="s">
        <v>29</v>
      </c>
      <c r="P44" s="81" t="s">
        <v>29</v>
      </c>
      <c r="Q44" s="81" t="s">
        <v>29</v>
      </c>
      <c r="R44" s="81" t="s">
        <v>29</v>
      </c>
      <c r="S44" s="81" t="s">
        <v>29</v>
      </c>
    </row>
    <row r="45" spans="1:20" x14ac:dyDescent="0.25">
      <c r="A45" s="63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</row>
    <row r="46" spans="1:20" x14ac:dyDescent="0.25">
      <c r="A46" s="77"/>
      <c r="B46" s="78"/>
      <c r="C46" s="78"/>
      <c r="D46" s="78"/>
      <c r="E46" s="78"/>
      <c r="F46" s="79" t="s">
        <v>397</v>
      </c>
      <c r="G46" s="80">
        <v>4487402.7699999996</v>
      </c>
      <c r="H46" s="80">
        <v>3254290.16</v>
      </c>
      <c r="I46" s="80">
        <v>5051.38</v>
      </c>
      <c r="J46" s="82"/>
      <c r="K46" s="82"/>
      <c r="L46" s="82"/>
      <c r="M46" s="81" t="s">
        <v>29</v>
      </c>
      <c r="N46" s="81" t="s">
        <v>29</v>
      </c>
      <c r="O46" s="81" t="s">
        <v>29</v>
      </c>
      <c r="P46" s="81" t="s">
        <v>29</v>
      </c>
      <c r="Q46" s="80">
        <v>4487402.7699999996</v>
      </c>
      <c r="R46" s="80">
        <v>3249238.78</v>
      </c>
      <c r="S46" s="80">
        <v>5051.38</v>
      </c>
    </row>
    <row r="48" spans="1:20" x14ac:dyDescent="0.25">
      <c r="A48" s="1" t="s">
        <v>366</v>
      </c>
      <c r="B48" s="1"/>
      <c r="C48" s="1"/>
      <c r="D48" s="1"/>
      <c r="E48" s="1"/>
      <c r="F48" s="1"/>
      <c r="T48"/>
    </row>
    <row r="49" spans="1:20" s="40" customFormat="1" x14ac:dyDescent="0.25">
      <c r="A49" s="33">
        <f>SUM(A43+1)</f>
        <v>1</v>
      </c>
      <c r="B49" s="34" t="s">
        <v>355</v>
      </c>
      <c r="C49" s="35">
        <v>691</v>
      </c>
      <c r="D49" s="34" t="s">
        <v>39</v>
      </c>
      <c r="E49" s="36">
        <v>15</v>
      </c>
      <c r="F49" s="33">
        <v>2013</v>
      </c>
      <c r="G49" s="37">
        <v>40693.440000000002</v>
      </c>
      <c r="H49" s="37">
        <v>33473.9</v>
      </c>
      <c r="I49" s="38">
        <v>121.12</v>
      </c>
      <c r="J49" s="39" t="s">
        <v>29</v>
      </c>
      <c r="K49" s="39" t="s">
        <v>29</v>
      </c>
      <c r="L49" s="39" t="s">
        <v>29</v>
      </c>
      <c r="M49" s="39" t="s">
        <v>29</v>
      </c>
      <c r="N49" s="39" t="s">
        <v>29</v>
      </c>
      <c r="O49" s="39" t="s">
        <v>29</v>
      </c>
      <c r="P49" s="39" t="s">
        <v>29</v>
      </c>
      <c r="Q49" s="37">
        <v>40693.440000000002</v>
      </c>
      <c r="R49" s="37">
        <v>33352.78</v>
      </c>
      <c r="S49" s="38">
        <v>121.12</v>
      </c>
      <c r="T49" s="83">
        <f>SUM(Q49-R49)</f>
        <v>7340.6600000000035</v>
      </c>
    </row>
    <row r="50" spans="1:20" x14ac:dyDescent="0.25">
      <c r="Q50" s="22">
        <f>SUM(Q49+Q8)</f>
        <v>50779.73</v>
      </c>
      <c r="R50" s="22">
        <f t="shared" ref="R50:T50" si="1">SUM(R49+R8)</f>
        <v>34467.03</v>
      </c>
      <c r="S50" s="22">
        <f t="shared" si="1"/>
        <v>129.73000000000002</v>
      </c>
      <c r="T50" s="22">
        <f t="shared" si="1"/>
        <v>16312.700000000004</v>
      </c>
    </row>
  </sheetData>
  <mergeCells count="5">
    <mergeCell ref="A1:H1"/>
    <mergeCell ref="E2:F2"/>
    <mergeCell ref="D3:F3"/>
    <mergeCell ref="D5:E5"/>
    <mergeCell ref="J5:L5"/>
  </mergeCells>
  <pageMargins left="0.51041666666666663" right="0.31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activeCell="S21" sqref="S21:T21"/>
    </sheetView>
  </sheetViews>
  <sheetFormatPr defaultRowHeight="15" x14ac:dyDescent="0.25"/>
  <cols>
    <col min="3" max="3" width="0" hidden="1" customWidth="1"/>
    <col min="5" max="5" width="13.7109375" customWidth="1"/>
    <col min="6" max="6" width="6.5703125" customWidth="1"/>
    <col min="7" max="7" width="10.140625" hidden="1" customWidth="1"/>
    <col min="8" max="8" width="10" hidden="1" customWidth="1"/>
    <col min="9" max="16" width="0" hidden="1" customWidth="1"/>
    <col min="17" max="17" width="10.5703125" customWidth="1"/>
    <col min="18" max="18" width="11.28515625" customWidth="1"/>
  </cols>
  <sheetData>
    <row r="1" spans="1:20" x14ac:dyDescent="0.25">
      <c r="A1" s="610" t="s">
        <v>0</v>
      </c>
      <c r="B1" s="610"/>
      <c r="C1" s="610"/>
      <c r="D1" s="610"/>
      <c r="E1" s="610"/>
      <c r="F1" s="610"/>
      <c r="G1" s="610"/>
      <c r="H1" s="610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20" x14ac:dyDescent="0.25">
      <c r="A2" s="92"/>
      <c r="B2" s="92"/>
      <c r="C2" s="92"/>
      <c r="D2" s="93" t="s">
        <v>1</v>
      </c>
      <c r="E2" s="611" t="s">
        <v>2</v>
      </c>
      <c r="F2" s="611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</row>
    <row r="3" spans="1:20" x14ac:dyDescent="0.25">
      <c r="A3" s="92"/>
      <c r="B3" s="92"/>
      <c r="C3" s="92"/>
      <c r="D3" s="612" t="s">
        <v>451</v>
      </c>
      <c r="E3" s="612"/>
      <c r="F3" s="61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</row>
    <row r="4" spans="1:20" x14ac:dyDescent="0.25">
      <c r="A4" s="92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</row>
    <row r="5" spans="1:20" x14ac:dyDescent="0.25">
      <c r="A5" s="94" t="s">
        <v>4</v>
      </c>
      <c r="B5" s="94" t="s">
        <v>5</v>
      </c>
      <c r="C5" s="95"/>
      <c r="D5" s="613" t="s">
        <v>6</v>
      </c>
      <c r="E5" s="613"/>
      <c r="F5" s="94" t="s">
        <v>7</v>
      </c>
      <c r="G5" s="94" t="s">
        <v>8</v>
      </c>
      <c r="H5" s="94" t="s">
        <v>9</v>
      </c>
      <c r="I5" s="94" t="s">
        <v>10</v>
      </c>
      <c r="J5" s="614" t="s">
        <v>11</v>
      </c>
      <c r="K5" s="614"/>
      <c r="L5" s="614"/>
      <c r="M5" s="94" t="s">
        <v>12</v>
      </c>
      <c r="N5" s="94" t="s">
        <v>12</v>
      </c>
      <c r="O5" s="94" t="s">
        <v>13</v>
      </c>
      <c r="P5" s="94" t="s">
        <v>13</v>
      </c>
      <c r="Q5" s="84" t="s">
        <v>22</v>
      </c>
      <c r="R5" s="84" t="s">
        <v>449</v>
      </c>
      <c r="S5" s="84" t="s">
        <v>367</v>
      </c>
      <c r="T5" s="86" t="s">
        <v>448</v>
      </c>
    </row>
    <row r="6" spans="1:20" x14ac:dyDescent="0.25">
      <c r="A6" s="96" t="s">
        <v>14</v>
      </c>
      <c r="B6" s="96" t="s">
        <v>15</v>
      </c>
      <c r="C6" s="96" t="s">
        <v>16</v>
      </c>
      <c r="D6" s="97" t="s">
        <v>17</v>
      </c>
      <c r="E6" s="98" t="s">
        <v>18</v>
      </c>
      <c r="F6" s="96" t="s">
        <v>19</v>
      </c>
      <c r="G6" s="96" t="s">
        <v>20</v>
      </c>
      <c r="H6" s="96" t="s">
        <v>20</v>
      </c>
      <c r="I6" s="96" t="s">
        <v>21</v>
      </c>
      <c r="J6" s="94" t="s">
        <v>22</v>
      </c>
      <c r="K6" s="94" t="s">
        <v>23</v>
      </c>
      <c r="L6" s="94" t="s">
        <v>10</v>
      </c>
      <c r="M6" s="96" t="s">
        <v>24</v>
      </c>
      <c r="N6" s="96" t="s">
        <v>25</v>
      </c>
      <c r="O6" s="96" t="s">
        <v>24</v>
      </c>
      <c r="P6" s="96" t="s">
        <v>25</v>
      </c>
      <c r="Q6" s="67" t="s">
        <v>26</v>
      </c>
      <c r="R6" s="67" t="s">
        <v>26</v>
      </c>
      <c r="S6" s="67"/>
      <c r="T6" s="87"/>
    </row>
    <row r="7" spans="1:20" x14ac:dyDescent="0.25">
      <c r="A7" s="99">
        <v>1</v>
      </c>
      <c r="B7" s="100" t="s">
        <v>452</v>
      </c>
      <c r="C7" s="101">
        <v>577</v>
      </c>
      <c r="D7" s="100" t="s">
        <v>234</v>
      </c>
      <c r="E7" s="100"/>
      <c r="F7" s="99">
        <v>2011</v>
      </c>
      <c r="G7" s="102">
        <v>80577.31</v>
      </c>
      <c r="H7" s="102">
        <v>62447.08</v>
      </c>
      <c r="I7" s="103">
        <v>223.83</v>
      </c>
      <c r="J7" s="104" t="s">
        <v>29</v>
      </c>
      <c r="K7" s="104" t="s">
        <v>29</v>
      </c>
      <c r="L7" s="104" t="s">
        <v>29</v>
      </c>
      <c r="M7" s="104" t="s">
        <v>29</v>
      </c>
      <c r="N7" s="104" t="s">
        <v>29</v>
      </c>
      <c r="O7" s="104" t="s">
        <v>29</v>
      </c>
      <c r="P7" s="104" t="s">
        <v>29</v>
      </c>
      <c r="Q7" s="102">
        <v>80577.31</v>
      </c>
      <c r="R7" s="102">
        <v>62223.25</v>
      </c>
      <c r="S7" s="103">
        <v>223.83</v>
      </c>
      <c r="T7" s="112">
        <f>SUM(Q7-R7)</f>
        <v>18354.059999999998</v>
      </c>
    </row>
    <row r="8" spans="1:20" x14ac:dyDescent="0.25">
      <c r="A8" s="99">
        <v>2</v>
      </c>
      <c r="B8" s="100" t="s">
        <v>453</v>
      </c>
      <c r="C8" s="101">
        <v>602</v>
      </c>
      <c r="D8" s="100" t="s">
        <v>234</v>
      </c>
      <c r="E8" s="100"/>
      <c r="F8" s="99">
        <v>2011</v>
      </c>
      <c r="G8" s="102">
        <v>96066.92</v>
      </c>
      <c r="H8" s="102">
        <v>74985.77</v>
      </c>
      <c r="I8" s="103">
        <v>266.85000000000002</v>
      </c>
      <c r="J8" s="104" t="s">
        <v>29</v>
      </c>
      <c r="K8" s="104" t="s">
        <v>29</v>
      </c>
      <c r="L8" s="104" t="s">
        <v>29</v>
      </c>
      <c r="M8" s="104" t="s">
        <v>29</v>
      </c>
      <c r="N8" s="104" t="s">
        <v>29</v>
      </c>
      <c r="O8" s="104" t="s">
        <v>29</v>
      </c>
      <c r="P8" s="104" t="s">
        <v>29</v>
      </c>
      <c r="Q8" s="102">
        <v>96066.92</v>
      </c>
      <c r="R8" s="102">
        <v>74718.92</v>
      </c>
      <c r="S8" s="103">
        <v>266.85000000000002</v>
      </c>
      <c r="T8" s="113">
        <f t="shared" ref="T8:T16" si="0">SUM(Q8-R8)</f>
        <v>21348</v>
      </c>
    </row>
    <row r="9" spans="1:20" x14ac:dyDescent="0.25">
      <c r="A9" s="99">
        <v>3</v>
      </c>
      <c r="B9" s="100" t="s">
        <v>454</v>
      </c>
      <c r="C9" s="101">
        <v>608</v>
      </c>
      <c r="D9" s="100" t="s">
        <v>234</v>
      </c>
      <c r="E9" s="100"/>
      <c r="F9" s="99">
        <v>2012</v>
      </c>
      <c r="G9" s="102">
        <v>65022.92</v>
      </c>
      <c r="H9" s="102">
        <v>51295.8</v>
      </c>
      <c r="I9" s="103">
        <v>180.62</v>
      </c>
      <c r="J9" s="104" t="s">
        <v>29</v>
      </c>
      <c r="K9" s="104" t="s">
        <v>29</v>
      </c>
      <c r="L9" s="104" t="s">
        <v>29</v>
      </c>
      <c r="M9" s="104" t="s">
        <v>29</v>
      </c>
      <c r="N9" s="104" t="s">
        <v>29</v>
      </c>
      <c r="O9" s="104" t="s">
        <v>29</v>
      </c>
      <c r="P9" s="104" t="s">
        <v>29</v>
      </c>
      <c r="Q9" s="102">
        <v>65022.92</v>
      </c>
      <c r="R9" s="102">
        <v>51115.18</v>
      </c>
      <c r="S9" s="103">
        <v>180.62</v>
      </c>
      <c r="T9" s="113">
        <f t="shared" si="0"/>
        <v>13907.739999999998</v>
      </c>
    </row>
    <row r="10" spans="1:20" x14ac:dyDescent="0.25">
      <c r="A10" s="99">
        <v>4</v>
      </c>
      <c r="B10" s="100" t="s">
        <v>455</v>
      </c>
      <c r="C10" s="101">
        <v>627</v>
      </c>
      <c r="D10" s="100" t="s">
        <v>234</v>
      </c>
      <c r="E10" s="100"/>
      <c r="F10" s="99">
        <v>2012</v>
      </c>
      <c r="G10" s="102">
        <v>38794.79</v>
      </c>
      <c r="H10" s="102">
        <v>31040.13</v>
      </c>
      <c r="I10" s="103">
        <v>107.76</v>
      </c>
      <c r="J10" s="104" t="s">
        <v>29</v>
      </c>
      <c r="K10" s="104" t="s">
        <v>29</v>
      </c>
      <c r="L10" s="104" t="s">
        <v>29</v>
      </c>
      <c r="M10" s="104" t="s">
        <v>29</v>
      </c>
      <c r="N10" s="104" t="s">
        <v>29</v>
      </c>
      <c r="O10" s="104" t="s">
        <v>29</v>
      </c>
      <c r="P10" s="104" t="s">
        <v>29</v>
      </c>
      <c r="Q10" s="102">
        <v>38794.79</v>
      </c>
      <c r="R10" s="102">
        <v>30932.37</v>
      </c>
      <c r="S10" s="103">
        <v>107.76</v>
      </c>
      <c r="T10" s="113">
        <f t="shared" si="0"/>
        <v>7862.4200000000019</v>
      </c>
    </row>
    <row r="11" spans="1:20" x14ac:dyDescent="0.25">
      <c r="A11" s="105"/>
      <c r="B11" s="106"/>
      <c r="C11" s="106"/>
      <c r="D11" s="106"/>
      <c r="E11" s="106"/>
      <c r="F11" s="107" t="s">
        <v>275</v>
      </c>
      <c r="G11" s="108">
        <v>280461.94</v>
      </c>
      <c r="H11" s="108">
        <v>219768.78</v>
      </c>
      <c r="I11" s="109">
        <v>779.06</v>
      </c>
      <c r="J11" s="110" t="s">
        <v>29</v>
      </c>
      <c r="K11" s="110" t="s">
        <v>29</v>
      </c>
      <c r="L11" s="110" t="s">
        <v>29</v>
      </c>
      <c r="M11" s="110" t="s">
        <v>29</v>
      </c>
      <c r="N11" s="110" t="s">
        <v>29</v>
      </c>
      <c r="O11" s="110" t="s">
        <v>29</v>
      </c>
      <c r="P11" s="110" t="s">
        <v>29</v>
      </c>
      <c r="Q11" s="108">
        <v>280461.94</v>
      </c>
      <c r="R11" s="108">
        <v>218989.72</v>
      </c>
      <c r="S11" s="109">
        <v>779.06</v>
      </c>
      <c r="T11" s="114">
        <f t="shared" si="0"/>
        <v>61472.22</v>
      </c>
    </row>
    <row r="12" spans="1:20" x14ac:dyDescent="0.25">
      <c r="A12" s="92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22"/>
    </row>
    <row r="13" spans="1:20" x14ac:dyDescent="0.25">
      <c r="A13" s="99">
        <v>5</v>
      </c>
      <c r="B13" s="100" t="s">
        <v>456</v>
      </c>
      <c r="C13" s="101">
        <v>603</v>
      </c>
      <c r="D13" s="100" t="s">
        <v>234</v>
      </c>
      <c r="E13" s="100"/>
      <c r="F13" s="99">
        <v>1983</v>
      </c>
      <c r="G13" s="102">
        <v>31705</v>
      </c>
      <c r="H13" s="102">
        <v>24748.26</v>
      </c>
      <c r="I13" s="103">
        <v>88.06</v>
      </c>
      <c r="J13" s="104" t="s">
        <v>29</v>
      </c>
      <c r="K13" s="104" t="s">
        <v>29</v>
      </c>
      <c r="L13" s="104" t="s">
        <v>29</v>
      </c>
      <c r="M13" s="104" t="s">
        <v>29</v>
      </c>
      <c r="N13" s="104" t="s">
        <v>29</v>
      </c>
      <c r="O13" s="104" t="s">
        <v>29</v>
      </c>
      <c r="P13" s="104" t="s">
        <v>29</v>
      </c>
      <c r="Q13" s="102">
        <v>31705</v>
      </c>
      <c r="R13" s="102">
        <v>24660.2</v>
      </c>
      <c r="S13" s="103">
        <v>88.06</v>
      </c>
      <c r="T13" s="112">
        <f t="shared" si="0"/>
        <v>7044.7999999999993</v>
      </c>
    </row>
    <row r="14" spans="1:20" x14ac:dyDescent="0.25">
      <c r="A14" s="105"/>
      <c r="B14" s="106"/>
      <c r="C14" s="106"/>
      <c r="D14" s="106"/>
      <c r="E14" s="106"/>
      <c r="F14" s="107" t="s">
        <v>275</v>
      </c>
      <c r="G14" s="108">
        <v>31705</v>
      </c>
      <c r="H14" s="108">
        <v>24748.26</v>
      </c>
      <c r="I14" s="109">
        <v>88.06</v>
      </c>
      <c r="J14" s="110" t="s">
        <v>29</v>
      </c>
      <c r="K14" s="110" t="s">
        <v>29</v>
      </c>
      <c r="L14" s="110" t="s">
        <v>29</v>
      </c>
      <c r="M14" s="110" t="s">
        <v>29</v>
      </c>
      <c r="N14" s="110" t="s">
        <v>29</v>
      </c>
      <c r="O14" s="110" t="s">
        <v>29</v>
      </c>
      <c r="P14" s="110" t="s">
        <v>29</v>
      </c>
      <c r="Q14" s="108">
        <v>31705</v>
      </c>
      <c r="R14" s="108">
        <v>24660.2</v>
      </c>
      <c r="S14" s="109">
        <v>88.06</v>
      </c>
      <c r="T14" s="114">
        <f t="shared" si="0"/>
        <v>7044.7999999999993</v>
      </c>
    </row>
    <row r="15" spans="1:20" x14ac:dyDescent="0.25">
      <c r="A15" s="92"/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22"/>
    </row>
    <row r="16" spans="1:20" x14ac:dyDescent="0.25">
      <c r="A16" s="105"/>
      <c r="B16" s="106"/>
      <c r="C16" s="106"/>
      <c r="D16" s="106"/>
      <c r="E16" s="106"/>
      <c r="F16" s="107" t="s">
        <v>397</v>
      </c>
      <c r="G16" s="108">
        <v>312166.94</v>
      </c>
      <c r="H16" s="108">
        <v>244517.04</v>
      </c>
      <c r="I16" s="109">
        <v>867.12</v>
      </c>
      <c r="J16" s="111"/>
      <c r="K16" s="111"/>
      <c r="L16" s="111"/>
      <c r="M16" s="110" t="s">
        <v>29</v>
      </c>
      <c r="N16" s="110" t="s">
        <v>29</v>
      </c>
      <c r="O16" s="110" t="s">
        <v>29</v>
      </c>
      <c r="P16" s="110" t="s">
        <v>29</v>
      </c>
      <c r="Q16" s="108">
        <v>312166.94</v>
      </c>
      <c r="R16" s="108">
        <v>243649.92000000001</v>
      </c>
      <c r="S16" s="109">
        <v>867.12</v>
      </c>
      <c r="T16" s="89">
        <f t="shared" si="0"/>
        <v>68517.01999999999</v>
      </c>
    </row>
    <row r="19" spans="6:20" x14ac:dyDescent="0.25">
      <c r="F19" s="99">
        <v>2011</v>
      </c>
      <c r="Q19" s="22">
        <f>SUM(Q7+Q8)</f>
        <v>176644.22999999998</v>
      </c>
      <c r="R19" s="22">
        <f t="shared" ref="R19:T19" si="1">SUM(R7+R8)</f>
        <v>136942.16999999998</v>
      </c>
      <c r="S19" s="22">
        <f t="shared" si="1"/>
        <v>490.68000000000006</v>
      </c>
      <c r="T19" s="22">
        <f t="shared" si="1"/>
        <v>39702.06</v>
      </c>
    </row>
    <row r="20" spans="6:20" x14ac:dyDescent="0.25">
      <c r="F20" s="99">
        <v>2012</v>
      </c>
      <c r="Q20" s="22">
        <f>SUM(Q9+Q10)</f>
        <v>103817.70999999999</v>
      </c>
      <c r="R20" s="22">
        <f t="shared" ref="R20:T20" si="2">SUM(R9+R10)</f>
        <v>82047.55</v>
      </c>
      <c r="S20" s="22">
        <f t="shared" si="2"/>
        <v>288.38</v>
      </c>
      <c r="T20" s="22">
        <f t="shared" si="2"/>
        <v>21770.16</v>
      </c>
    </row>
    <row r="21" spans="6:20" x14ac:dyDescent="0.25">
      <c r="F21" s="99">
        <v>1983</v>
      </c>
      <c r="Q21" s="22">
        <f>SUM(Q13)</f>
        <v>31705</v>
      </c>
      <c r="R21" s="22">
        <f t="shared" ref="R21:T21" si="3">SUM(R13)</f>
        <v>24660.2</v>
      </c>
      <c r="S21" s="22">
        <f t="shared" si="3"/>
        <v>88.06</v>
      </c>
      <c r="T21" s="22">
        <f t="shared" si="3"/>
        <v>7044.7999999999993</v>
      </c>
    </row>
  </sheetData>
  <mergeCells count="5">
    <mergeCell ref="A1:H1"/>
    <mergeCell ref="E2:F2"/>
    <mergeCell ref="D3:F3"/>
    <mergeCell ref="D5:E5"/>
    <mergeCell ref="J5:L5"/>
  </mergeCells>
  <pageMargins left="0.7" right="0.33333333333333331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workbookViewId="0">
      <selection activeCell="B27" sqref="B27"/>
    </sheetView>
  </sheetViews>
  <sheetFormatPr defaultRowHeight="15" x14ac:dyDescent="0.25"/>
  <cols>
    <col min="1" max="1" width="4" customWidth="1"/>
    <col min="2" max="2" width="7.5703125" customWidth="1"/>
    <col min="6" max="6" width="7.7109375" customWidth="1"/>
    <col min="7" max="13" width="0" hidden="1" customWidth="1"/>
  </cols>
  <sheetData>
    <row r="1" spans="1:17" x14ac:dyDescent="0.25">
      <c r="A1" s="615" t="s">
        <v>0</v>
      </c>
      <c r="B1" s="615"/>
      <c r="C1" s="615"/>
      <c r="D1" s="615"/>
      <c r="E1" s="615"/>
      <c r="F1" s="615"/>
      <c r="G1" s="615"/>
      <c r="H1" s="615"/>
      <c r="I1" s="115"/>
      <c r="J1" s="115"/>
      <c r="K1" s="115"/>
      <c r="L1" s="115"/>
      <c r="M1" s="115"/>
      <c r="N1" s="115"/>
      <c r="O1" s="115"/>
    </row>
    <row r="2" spans="1:17" x14ac:dyDescent="0.25">
      <c r="A2" s="115"/>
      <c r="B2" s="115"/>
      <c r="C2" s="116" t="s">
        <v>1</v>
      </c>
      <c r="D2" s="616" t="s">
        <v>457</v>
      </c>
      <c r="E2" s="616"/>
      <c r="F2" s="616"/>
      <c r="G2" s="115"/>
      <c r="H2" s="115"/>
      <c r="I2" s="115"/>
      <c r="J2" s="115"/>
      <c r="K2" s="115"/>
      <c r="L2" s="115"/>
      <c r="M2" s="115"/>
      <c r="N2" s="115"/>
      <c r="O2" s="115"/>
    </row>
    <row r="3" spans="1:17" x14ac:dyDescent="0.25">
      <c r="A3" s="115"/>
      <c r="B3" s="115"/>
      <c r="C3" s="117">
        <v>108</v>
      </c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</row>
    <row r="4" spans="1:17" x14ac:dyDescent="0.25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</row>
    <row r="5" spans="1:17" x14ac:dyDescent="0.25">
      <c r="A5" s="118" t="s">
        <v>4</v>
      </c>
      <c r="B5" s="118"/>
      <c r="C5" s="119" t="s">
        <v>458</v>
      </c>
      <c r="D5" s="118" t="s">
        <v>459</v>
      </c>
      <c r="E5" s="118" t="s">
        <v>460</v>
      </c>
      <c r="F5" s="118" t="s">
        <v>7</v>
      </c>
      <c r="G5" s="118" t="s">
        <v>8</v>
      </c>
      <c r="H5" s="118" t="s">
        <v>9</v>
      </c>
      <c r="I5" s="118" t="s">
        <v>10</v>
      </c>
      <c r="J5" s="118" t="s">
        <v>12</v>
      </c>
      <c r="K5" s="118" t="s">
        <v>12</v>
      </c>
      <c r="L5" s="118" t="s">
        <v>13</v>
      </c>
      <c r="M5" s="118" t="s">
        <v>13</v>
      </c>
      <c r="N5" s="84" t="s">
        <v>22</v>
      </c>
      <c r="O5" s="84" t="s">
        <v>449</v>
      </c>
      <c r="P5" s="84" t="s">
        <v>367</v>
      </c>
      <c r="Q5" s="86" t="s">
        <v>448</v>
      </c>
    </row>
    <row r="6" spans="1:17" x14ac:dyDescent="0.25">
      <c r="A6" s="120" t="s">
        <v>14</v>
      </c>
      <c r="B6" s="120" t="s">
        <v>461</v>
      </c>
      <c r="C6" s="121"/>
      <c r="D6" s="120"/>
      <c r="E6" s="120"/>
      <c r="F6" s="120" t="s">
        <v>19</v>
      </c>
      <c r="G6" s="120" t="s">
        <v>20</v>
      </c>
      <c r="H6" s="120" t="s">
        <v>20</v>
      </c>
      <c r="I6" s="120"/>
      <c r="J6" s="120" t="s">
        <v>24</v>
      </c>
      <c r="K6" s="120" t="s">
        <v>25</v>
      </c>
      <c r="L6" s="120" t="s">
        <v>24</v>
      </c>
      <c r="M6" s="120" t="s">
        <v>25</v>
      </c>
      <c r="N6" s="67" t="s">
        <v>26</v>
      </c>
      <c r="O6" s="67" t="s">
        <v>26</v>
      </c>
      <c r="P6" s="67"/>
      <c r="Q6" s="87"/>
    </row>
    <row r="7" spans="1:17" x14ac:dyDescent="0.25">
      <c r="A7" s="122">
        <v>1</v>
      </c>
      <c r="B7" s="123">
        <v>10800001</v>
      </c>
      <c r="C7" s="124" t="s">
        <v>462</v>
      </c>
      <c r="D7" s="124" t="s">
        <v>463</v>
      </c>
      <c r="E7" s="125" t="s">
        <v>464</v>
      </c>
      <c r="F7" s="122">
        <v>1939</v>
      </c>
      <c r="G7" s="126">
        <v>96</v>
      </c>
      <c r="H7" s="125" t="s">
        <v>29</v>
      </c>
      <c r="I7" s="125" t="s">
        <v>29</v>
      </c>
      <c r="J7" s="125" t="s">
        <v>29</v>
      </c>
      <c r="K7" s="125" t="s">
        <v>29</v>
      </c>
      <c r="L7" s="125" t="s">
        <v>29</v>
      </c>
      <c r="M7" s="125" t="s">
        <v>29</v>
      </c>
      <c r="N7" s="126">
        <v>96</v>
      </c>
      <c r="O7" s="125">
        <v>0</v>
      </c>
      <c r="P7" s="125" t="s">
        <v>29</v>
      </c>
      <c r="Q7" s="126">
        <f>SUM(N7-O7)</f>
        <v>96</v>
      </c>
    </row>
    <row r="8" spans="1:17" x14ac:dyDescent="0.25">
      <c r="A8" s="122">
        <v>2</v>
      </c>
      <c r="B8" s="123">
        <v>10800002</v>
      </c>
      <c r="C8" s="124" t="s">
        <v>465</v>
      </c>
      <c r="D8" s="124" t="s">
        <v>463</v>
      </c>
      <c r="E8" s="125" t="s">
        <v>464</v>
      </c>
      <c r="F8" s="122">
        <v>1939</v>
      </c>
      <c r="G8" s="126">
        <v>96</v>
      </c>
      <c r="H8" s="125" t="s">
        <v>29</v>
      </c>
      <c r="I8" s="125" t="s">
        <v>29</v>
      </c>
      <c r="J8" s="125" t="s">
        <v>29</v>
      </c>
      <c r="K8" s="125" t="s">
        <v>29</v>
      </c>
      <c r="L8" s="125" t="s">
        <v>29</v>
      </c>
      <c r="M8" s="125" t="s">
        <v>29</v>
      </c>
      <c r="N8" s="126">
        <v>96</v>
      </c>
      <c r="O8" s="125">
        <v>0</v>
      </c>
      <c r="P8" s="125" t="s">
        <v>29</v>
      </c>
      <c r="Q8" s="126">
        <f t="shared" ref="Q8:Q11" si="0">SUM(N8-O8)</f>
        <v>96</v>
      </c>
    </row>
    <row r="9" spans="1:17" x14ac:dyDescent="0.25">
      <c r="A9" s="122">
        <v>3</v>
      </c>
      <c r="B9" s="123">
        <v>10800003</v>
      </c>
      <c r="C9" s="124" t="s">
        <v>466</v>
      </c>
      <c r="D9" s="124" t="s">
        <v>463</v>
      </c>
      <c r="E9" s="125"/>
      <c r="F9" s="122">
        <v>2017</v>
      </c>
      <c r="G9" s="127">
        <v>22100</v>
      </c>
      <c r="H9" s="127">
        <v>21179.45</v>
      </c>
      <c r="I9" s="126">
        <v>184.11</v>
      </c>
      <c r="J9" s="125" t="s">
        <v>29</v>
      </c>
      <c r="K9" s="125" t="s">
        <v>29</v>
      </c>
      <c r="L9" s="125" t="s">
        <v>29</v>
      </c>
      <c r="M9" s="125" t="s">
        <v>29</v>
      </c>
      <c r="N9" s="127">
        <v>22100</v>
      </c>
      <c r="O9" s="127">
        <v>20995.34</v>
      </c>
      <c r="P9" s="126">
        <v>184.11</v>
      </c>
      <c r="Q9" s="126">
        <f t="shared" si="0"/>
        <v>1104.6599999999999</v>
      </c>
    </row>
    <row r="10" spans="1:17" x14ac:dyDescent="0.25">
      <c r="A10" s="122">
        <v>4</v>
      </c>
      <c r="B10" s="123">
        <v>10800004</v>
      </c>
      <c r="C10" s="124" t="s">
        <v>467</v>
      </c>
      <c r="D10" s="124" t="s">
        <v>463</v>
      </c>
      <c r="E10" s="125"/>
      <c r="F10" s="122">
        <v>2017</v>
      </c>
      <c r="G10" s="127">
        <v>5400</v>
      </c>
      <c r="H10" s="127">
        <v>5175</v>
      </c>
      <c r="I10" s="126">
        <v>45</v>
      </c>
      <c r="J10" s="125" t="s">
        <v>29</v>
      </c>
      <c r="K10" s="125" t="s">
        <v>29</v>
      </c>
      <c r="L10" s="125" t="s">
        <v>29</v>
      </c>
      <c r="M10" s="125" t="s">
        <v>29</v>
      </c>
      <c r="N10" s="127">
        <v>5400</v>
      </c>
      <c r="O10" s="127">
        <v>5130</v>
      </c>
      <c r="P10" s="126">
        <v>45</v>
      </c>
      <c r="Q10" s="126">
        <f t="shared" si="0"/>
        <v>270</v>
      </c>
    </row>
    <row r="11" spans="1:17" x14ac:dyDescent="0.25">
      <c r="A11" s="128"/>
      <c r="B11" s="129"/>
      <c r="C11" s="129"/>
      <c r="D11" s="129"/>
      <c r="E11" s="130"/>
      <c r="F11" s="130" t="s">
        <v>275</v>
      </c>
      <c r="G11" s="131">
        <v>27692</v>
      </c>
      <c r="H11" s="131">
        <v>26354.45</v>
      </c>
      <c r="I11" s="132">
        <v>229.11</v>
      </c>
      <c r="J11" s="133" t="s">
        <v>29</v>
      </c>
      <c r="K11" s="133" t="s">
        <v>29</v>
      </c>
      <c r="L11" s="133" t="s">
        <v>29</v>
      </c>
      <c r="M11" s="133" t="s">
        <v>29</v>
      </c>
      <c r="N11" s="131">
        <v>27692</v>
      </c>
      <c r="O11" s="131">
        <v>26125.34</v>
      </c>
      <c r="P11" s="132">
        <v>229.11</v>
      </c>
      <c r="Q11" s="126">
        <f t="shared" si="0"/>
        <v>1566.6599999999999</v>
      </c>
    </row>
  </sheetData>
  <mergeCells count="2">
    <mergeCell ref="A1:H1"/>
    <mergeCell ref="D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Лист1</vt:lpstr>
      <vt:lpstr>Лист2</vt:lpstr>
      <vt:lpstr>житло</vt:lpstr>
      <vt:lpstr>благоустрій</vt:lpstr>
      <vt:lpstr>нежитло</vt:lpstr>
      <vt:lpstr>каналіз</vt:lpstr>
      <vt:lpstr>108</vt:lpstr>
      <vt:lpstr>житло!Заголовки_для_печати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2018-09-11T07:03:26Z</dcterms:modified>
</cp:coreProperties>
</file>