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РІШЕННЯ для погодження\виконання І-ше півріччя 2024\"/>
    </mc:Choice>
  </mc:AlternateContent>
  <xr:revisionPtr revIDLastSave="0" documentId="13_ncr:1_{3D7A18A5-760D-446B-A07E-2D337CDC2B42}" xr6:coauthVersionLast="3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Липень" sheetId="1" r:id="rId1"/>
  </sheets>
  <definedNames>
    <definedName name="Print_Area_0" localSheetId="0">Липень!$A$1:$I$983</definedName>
    <definedName name="_xlnm.Print_Area" localSheetId="0">Липень!$A$1:$I$983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8" i="1" l="1"/>
  <c r="H87" i="1" s="1"/>
  <c r="H188" i="1"/>
  <c r="H537" i="1"/>
  <c r="H517" i="1"/>
  <c r="H477" i="1"/>
  <c r="H453" i="1"/>
  <c r="H424" i="1"/>
  <c r="G424" i="1"/>
  <c r="H350" i="1"/>
  <c r="H346" i="1" s="1"/>
  <c r="I661" i="1" l="1"/>
  <c r="I669" i="1"/>
  <c r="I686" i="1"/>
  <c r="I692" i="1"/>
  <c r="I696" i="1"/>
  <c r="I701" i="1"/>
  <c r="I705" i="1"/>
  <c r="I709" i="1"/>
  <c r="I17" i="1"/>
  <c r="I28" i="1"/>
  <c r="I33" i="1"/>
  <c r="I35" i="1"/>
  <c r="I42" i="1"/>
  <c r="I47" i="1"/>
  <c r="I48" i="1"/>
  <c r="I49" i="1"/>
  <c r="I50" i="1"/>
  <c r="I53" i="1"/>
  <c r="I58" i="1"/>
  <c r="I59" i="1"/>
  <c r="I67" i="1"/>
  <c r="I69" i="1"/>
  <c r="I70" i="1"/>
  <c r="I85" i="1"/>
  <c r="I102" i="1"/>
  <c r="I106" i="1"/>
  <c r="I111" i="1"/>
  <c r="I116" i="1"/>
  <c r="I134" i="1"/>
  <c r="I138" i="1"/>
  <c r="I161" i="1"/>
  <c r="I165" i="1"/>
  <c r="I186" i="1"/>
  <c r="I206" i="1"/>
  <c r="I210" i="1"/>
  <c r="I218" i="1"/>
  <c r="I222" i="1"/>
  <c r="I249" i="1"/>
  <c r="I252" i="1"/>
  <c r="I256" i="1"/>
  <c r="I269" i="1"/>
  <c r="I273" i="1"/>
  <c r="I277" i="1"/>
  <c r="I281" i="1"/>
  <c r="I282" i="1"/>
  <c r="I293" i="1"/>
  <c r="I301" i="1"/>
  <c r="I304" i="1"/>
  <c r="I313" i="1"/>
  <c r="I314" i="1"/>
  <c r="I320" i="1"/>
  <c r="I330" i="1"/>
  <c r="I334" i="1"/>
  <c r="I337" i="1"/>
  <c r="I341" i="1"/>
  <c r="I345" i="1"/>
  <c r="I357" i="1"/>
  <c r="I361" i="1"/>
  <c r="I367" i="1"/>
  <c r="I376" i="1"/>
  <c r="I387" i="1"/>
  <c r="I394" i="1"/>
  <c r="I437" i="1"/>
  <c r="I452" i="1"/>
  <c r="I458" i="1"/>
  <c r="I490" i="1"/>
  <c r="I498" i="1"/>
  <c r="I501" i="1"/>
  <c r="I509" i="1"/>
  <c r="I596" i="1"/>
  <c r="I600" i="1"/>
  <c r="I606" i="1"/>
  <c r="I620" i="1"/>
  <c r="H622" i="1"/>
  <c r="H603" i="1"/>
  <c r="H593" i="1"/>
  <c r="H591" i="1"/>
  <c r="H583" i="1" s="1"/>
  <c r="H575" i="1"/>
  <c r="H572" i="1"/>
  <c r="H569" i="1"/>
  <c r="H567" i="1"/>
  <c r="H566" i="1"/>
  <c r="H565" i="1"/>
  <c r="H564" i="1"/>
  <c r="H553" i="1"/>
  <c r="H548" i="1"/>
  <c r="H544" i="1"/>
  <c r="H482" i="1"/>
  <c r="H469" i="1"/>
  <c r="H468" i="1" s="1"/>
  <c r="H464" i="1"/>
  <c r="H445" i="1"/>
  <c r="H400" i="1"/>
  <c r="H397" i="1" s="1"/>
  <c r="H260" i="1"/>
  <c r="H177" i="1"/>
  <c r="H173" i="1"/>
  <c r="H119" i="1"/>
  <c r="H118" i="1" s="1"/>
  <c r="H117" i="1" s="1"/>
  <c r="H180" i="1"/>
  <c r="H179" i="1" s="1"/>
  <c r="H654" i="1"/>
  <c r="H720" i="1"/>
  <c r="H172" i="1" l="1"/>
  <c r="H171" i="1" l="1"/>
  <c r="G549" i="1"/>
  <c r="I549" i="1" s="1"/>
  <c r="G556" i="1"/>
  <c r="I556" i="1" s="1"/>
  <c r="G552" i="1"/>
  <c r="G402" i="1" l="1"/>
  <c r="G546" i="1"/>
  <c r="G548" i="1"/>
  <c r="I548" i="1" s="1"/>
  <c r="G400" i="1"/>
  <c r="I400" i="1" s="1"/>
  <c r="G478" i="1"/>
  <c r="G466" i="1"/>
  <c r="G465" i="1"/>
  <c r="G462" i="1"/>
  <c r="G444" i="1"/>
  <c r="I444" i="1" s="1"/>
  <c r="G443" i="1"/>
  <c r="I443" i="1" s="1"/>
  <c r="G442" i="1"/>
  <c r="I442" i="1" s="1"/>
  <c r="G441" i="1"/>
  <c r="I441" i="1" s="1"/>
  <c r="G264" i="1" l="1"/>
  <c r="I264" i="1" s="1"/>
  <c r="G593" i="1"/>
  <c r="I593" i="1" s="1"/>
  <c r="G592" i="1"/>
  <c r="I592" i="1" s="1"/>
  <c r="G586" i="1"/>
  <c r="I586" i="1" s="1"/>
  <c r="G572" i="1"/>
  <c r="I572" i="1" s="1"/>
  <c r="G568" i="1"/>
  <c r="I568" i="1" s="1"/>
  <c r="G401" i="1" l="1"/>
  <c r="G399" i="1"/>
  <c r="I399" i="1" s="1"/>
  <c r="G370" i="1"/>
  <c r="I370" i="1" s="1"/>
  <c r="G312" i="1"/>
  <c r="I312" i="1" s="1"/>
  <c r="G265" i="1"/>
  <c r="I265" i="1" s="1"/>
  <c r="G263" i="1"/>
  <c r="I263" i="1" s="1"/>
  <c r="G262" i="1"/>
  <c r="I262" i="1" s="1"/>
  <c r="G259" i="1"/>
  <c r="I259" i="1" s="1"/>
  <c r="G287" i="1" l="1"/>
  <c r="I287" i="1" s="1"/>
  <c r="G258" i="1"/>
  <c r="G189" i="1" l="1"/>
  <c r="I189" i="1" s="1"/>
  <c r="G177" i="1"/>
  <c r="I177" i="1" s="1"/>
  <c r="G173" i="1"/>
  <c r="I173" i="1" s="1"/>
  <c r="G153" i="1"/>
  <c r="I153" i="1" s="1"/>
  <c r="G464" i="1" l="1"/>
  <c r="I464" i="1" s="1"/>
  <c r="G544" i="1" l="1"/>
  <c r="I544" i="1" s="1"/>
  <c r="G573" i="1" l="1"/>
  <c r="I573" i="1" s="1"/>
  <c r="F573" i="1"/>
  <c r="G565" i="1"/>
  <c r="I565" i="1" s="1"/>
  <c r="G553" i="1"/>
  <c r="I553" i="1" s="1"/>
  <c r="G567" i="1"/>
  <c r="I567" i="1" s="1"/>
  <c r="G605" i="1" l="1"/>
  <c r="G604" i="1"/>
  <c r="G469" i="1"/>
  <c r="I469" i="1" s="1"/>
  <c r="G512" i="1" l="1"/>
  <c r="I512" i="1" s="1"/>
  <c r="G484" i="1"/>
  <c r="I484" i="1" s="1"/>
  <c r="G482" i="1"/>
  <c r="I482" i="1" s="1"/>
  <c r="G351" i="1"/>
  <c r="G84" i="1"/>
  <c r="I84" i="1" s="1"/>
  <c r="I351" i="1" l="1"/>
  <c r="G350" i="1"/>
  <c r="G559" i="1"/>
  <c r="I559" i="1" s="1"/>
  <c r="G558" i="1"/>
  <c r="E609" i="1" l="1"/>
  <c r="F612" i="1"/>
  <c r="F611" i="1"/>
  <c r="F603" i="1"/>
  <c r="F593" i="1"/>
  <c r="F569" i="1"/>
  <c r="F568" i="1"/>
  <c r="F562" i="1"/>
  <c r="F561" i="1"/>
  <c r="F560" i="1"/>
  <c r="F559" i="1"/>
  <c r="F558" i="1"/>
  <c r="F556" i="1"/>
  <c r="F549" i="1"/>
  <c r="F515" i="1"/>
  <c r="F514" i="1"/>
  <c r="F403" i="1"/>
  <c r="F402" i="1"/>
  <c r="F401" i="1"/>
  <c r="F400" i="1"/>
  <c r="F370" i="1"/>
  <c r="F312" i="1"/>
  <c r="G311" i="1"/>
  <c r="E311" i="1"/>
  <c r="E310" i="1" s="1"/>
  <c r="H311" i="1"/>
  <c r="F307" i="1"/>
  <c r="G284" i="1"/>
  <c r="K1089" i="1" s="1"/>
  <c r="K1088" i="1" s="1"/>
  <c r="L1089" i="1"/>
  <c r="L1088" i="1" s="1"/>
  <c r="E284" i="1"/>
  <c r="F287" i="1"/>
  <c r="F286" i="1"/>
  <c r="F285" i="1"/>
  <c r="F284" i="1" s="1"/>
  <c r="F279" i="1"/>
  <c r="F265" i="1"/>
  <c r="F264" i="1"/>
  <c r="F263" i="1"/>
  <c r="F262" i="1"/>
  <c r="I311" i="1" l="1"/>
  <c r="L1105" i="1"/>
  <c r="L1104" i="1" s="1"/>
  <c r="G310" i="1"/>
  <c r="K1105" i="1"/>
  <c r="K1104" i="1" s="1"/>
  <c r="F311" i="1"/>
  <c r="H310" i="1"/>
  <c r="I310" i="1" s="1"/>
  <c r="M1105" i="1"/>
  <c r="M1104" i="1" s="1"/>
  <c r="H284" i="1"/>
  <c r="H283" i="1" s="1"/>
  <c r="M1089" i="1" l="1"/>
  <c r="M1088" i="1" s="1"/>
  <c r="I284" i="1"/>
  <c r="N1089" i="1" s="1"/>
  <c r="N1088" i="1" s="1"/>
  <c r="N1105" i="1"/>
  <c r="N1104" i="1" s="1"/>
  <c r="F310" i="1"/>
  <c r="G445" i="1" l="1"/>
  <c r="I445" i="1" s="1"/>
  <c r="G569" i="1"/>
  <c r="I569" i="1" s="1"/>
  <c r="G89" i="1" l="1"/>
  <c r="I89" i="1" s="1"/>
  <c r="L1050" i="1" l="1"/>
  <c r="G540" i="1" l="1"/>
  <c r="G551" i="1" l="1"/>
  <c r="H614" i="1" l="1"/>
  <c r="M1184" i="1" s="1"/>
  <c r="F615" i="1"/>
  <c r="F614" i="1" s="1"/>
  <c r="G614" i="1"/>
  <c r="K1184" i="1" s="1"/>
  <c r="L1184" i="1"/>
  <c r="E614" i="1"/>
  <c r="F605" i="1"/>
  <c r="F604" i="1"/>
  <c r="F588" i="1"/>
  <c r="F587" i="1"/>
  <c r="F574" i="1"/>
  <c r="F565" i="1"/>
  <c r="F564" i="1"/>
  <c r="F553" i="1"/>
  <c r="F551" i="1"/>
  <c r="F552" i="1"/>
  <c r="F546" i="1"/>
  <c r="F545" i="1"/>
  <c r="F544" i="1"/>
  <c r="F540" i="1"/>
  <c r="E511" i="1"/>
  <c r="F466" i="1"/>
  <c r="F465" i="1"/>
  <c r="F464" i="1"/>
  <c r="F425" i="1"/>
  <c r="F407" i="1"/>
  <c r="F406" i="1"/>
  <c r="F405" i="1"/>
  <c r="F404" i="1"/>
  <c r="F399" i="1"/>
  <c r="F261" i="1"/>
  <c r="F258" i="1"/>
  <c r="F177" i="1"/>
  <c r="F173" i="1"/>
  <c r="G610" i="1" l="1"/>
  <c r="I610" i="1" s="1"/>
  <c r="G539" i="1"/>
  <c r="I539" i="1" s="1"/>
  <c r="G513" i="1"/>
  <c r="G181" i="1"/>
  <c r="I181" i="1" s="1"/>
  <c r="G119" i="1"/>
  <c r="I119" i="1" l="1"/>
  <c r="G118" i="1"/>
  <c r="G511" i="1"/>
  <c r="I513" i="1"/>
  <c r="N1184" i="1"/>
  <c r="G609" i="1"/>
  <c r="G608" i="1" s="1"/>
  <c r="G566" i="1" l="1"/>
  <c r="I566" i="1" s="1"/>
  <c r="G560" i="1" l="1"/>
  <c r="E537" i="1" l="1"/>
  <c r="G537" i="1" l="1"/>
  <c r="G603" i="1"/>
  <c r="I603" i="1" s="1"/>
  <c r="G591" i="1"/>
  <c r="I591" i="1" s="1"/>
  <c r="G589" i="1"/>
  <c r="I589" i="1" s="1"/>
  <c r="G585" i="1"/>
  <c r="I585" i="1" s="1"/>
  <c r="G575" i="1"/>
  <c r="I575" i="1" s="1"/>
  <c r="G571" i="1"/>
  <c r="I571" i="1" s="1"/>
  <c r="G570" i="1"/>
  <c r="I570" i="1" s="1"/>
  <c r="G564" i="1"/>
  <c r="I564" i="1" s="1"/>
  <c r="G557" i="1"/>
  <c r="I557" i="1" s="1"/>
  <c r="G555" i="1"/>
  <c r="I555" i="1" s="1"/>
  <c r="G554" i="1"/>
  <c r="I554" i="1" s="1"/>
  <c r="G463" i="1"/>
  <c r="I463" i="1" s="1"/>
  <c r="G398" i="1"/>
  <c r="I398" i="1" s="1"/>
  <c r="G308" i="1"/>
  <c r="I308" i="1" s="1"/>
  <c r="G461" i="1" l="1"/>
  <c r="F548" i="1"/>
  <c r="G584" i="1"/>
  <c r="G583" i="1" s="1"/>
  <c r="F584" i="1"/>
  <c r="G720" i="1" l="1"/>
  <c r="F720" i="1"/>
  <c r="F719" i="1" s="1"/>
  <c r="F718" i="1" s="1"/>
  <c r="F717" i="1" s="1"/>
  <c r="H719" i="1"/>
  <c r="G654" i="1"/>
  <c r="I654" i="1" s="1"/>
  <c r="F654" i="1"/>
  <c r="F610" i="1"/>
  <c r="F591" i="1"/>
  <c r="F590" i="1"/>
  <c r="F543" i="1"/>
  <c r="F482" i="1"/>
  <c r="F153" i="1"/>
  <c r="F119" i="1"/>
  <c r="F89" i="1"/>
  <c r="G719" i="1" l="1"/>
  <c r="G718" i="1" s="1"/>
  <c r="I720" i="1"/>
  <c r="H718" i="1"/>
  <c r="I719" i="1"/>
  <c r="F609" i="1"/>
  <c r="F608" i="1" s="1"/>
  <c r="H717" i="1" l="1"/>
  <c r="I718" i="1"/>
  <c r="G622" i="1"/>
  <c r="I622" i="1" s="1"/>
  <c r="G457" i="1"/>
  <c r="I457" i="1" s="1"/>
  <c r="G456" i="1"/>
  <c r="I456" i="1" s="1"/>
  <c r="G455" i="1"/>
  <c r="I455" i="1" s="1"/>
  <c r="G454" i="1"/>
  <c r="I454" i="1" s="1"/>
  <c r="G260" i="1"/>
  <c r="I260" i="1" s="1"/>
  <c r="G257" i="1" l="1"/>
  <c r="J396" i="1"/>
  <c r="E517" i="1" l="1"/>
  <c r="G542" i="1"/>
  <c r="E542" i="1"/>
  <c r="E461" i="1"/>
  <c r="F583" i="1"/>
  <c r="F575" i="1"/>
  <c r="F572" i="1"/>
  <c r="F567" i="1"/>
  <c r="F566" i="1"/>
  <c r="F547" i="1"/>
  <c r="F539" i="1"/>
  <c r="F538" i="1"/>
  <c r="F518" i="1"/>
  <c r="F513" i="1"/>
  <c r="F512" i="1"/>
  <c r="F484" i="1"/>
  <c r="F483" i="1"/>
  <c r="G481" i="1"/>
  <c r="E481" i="1"/>
  <c r="F469" i="1"/>
  <c r="H472" i="1"/>
  <c r="I472" i="1" s="1"/>
  <c r="H471" i="1"/>
  <c r="I471" i="1" s="1"/>
  <c r="H470" i="1"/>
  <c r="I470" i="1" s="1"/>
  <c r="G468" i="1"/>
  <c r="E468" i="1"/>
  <c r="F463" i="1"/>
  <c r="F462" i="1"/>
  <c r="F445" i="1"/>
  <c r="F398" i="1"/>
  <c r="F296" i="1"/>
  <c r="F260" i="1"/>
  <c r="G440" i="1"/>
  <c r="I440" i="1" s="1"/>
  <c r="G439" i="1"/>
  <c r="I439" i="1" s="1"/>
  <c r="G403" i="1"/>
  <c r="E351" i="1"/>
  <c r="F351" i="1"/>
  <c r="J956" i="1"/>
  <c r="J959" i="1"/>
  <c r="E653" i="1"/>
  <c r="E652" i="1" s="1"/>
  <c r="E651" i="1" s="1"/>
  <c r="F653" i="1"/>
  <c r="F652" i="1" s="1"/>
  <c r="G653" i="1"/>
  <c r="G652" i="1" s="1"/>
  <c r="H653" i="1"/>
  <c r="E658" i="1"/>
  <c r="E657" i="1" s="1"/>
  <c r="F658" i="1"/>
  <c r="F657" i="1" s="1"/>
  <c r="G658" i="1"/>
  <c r="G657" i="1" s="1"/>
  <c r="H659" i="1"/>
  <c r="I659" i="1" s="1"/>
  <c r="H660" i="1"/>
  <c r="I660" i="1" s="1"/>
  <c r="E664" i="1"/>
  <c r="F664" i="1"/>
  <c r="G664" i="1"/>
  <c r="H665" i="1"/>
  <c r="E666" i="1"/>
  <c r="F666" i="1"/>
  <c r="G666" i="1"/>
  <c r="H667" i="1"/>
  <c r="I667" i="1" s="1"/>
  <c r="H668" i="1"/>
  <c r="I668" i="1" s="1"/>
  <c r="E670" i="1"/>
  <c r="F670" i="1"/>
  <c r="G670" i="1"/>
  <c r="F671" i="1"/>
  <c r="G671" i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E687" i="1"/>
  <c r="F688" i="1"/>
  <c r="F687" i="1" s="1"/>
  <c r="G688" i="1"/>
  <c r="G687" i="1" s="1"/>
  <c r="H689" i="1"/>
  <c r="I689" i="1" s="1"/>
  <c r="H690" i="1"/>
  <c r="I690" i="1" s="1"/>
  <c r="H691" i="1"/>
  <c r="I691" i="1" s="1"/>
  <c r="E693" i="1"/>
  <c r="F694" i="1"/>
  <c r="F693" i="1" s="1"/>
  <c r="G694" i="1"/>
  <c r="G693" i="1" s="1"/>
  <c r="H695" i="1"/>
  <c r="F698" i="1"/>
  <c r="G698" i="1"/>
  <c r="H699" i="1"/>
  <c r="I699" i="1" s="1"/>
  <c r="H700" i="1"/>
  <c r="I700" i="1" s="1"/>
  <c r="F702" i="1"/>
  <c r="G702" i="1"/>
  <c r="H703" i="1"/>
  <c r="I703" i="1" s="1"/>
  <c r="H704" i="1"/>
  <c r="I704" i="1" s="1"/>
  <c r="F707" i="1"/>
  <c r="F706" i="1" s="1"/>
  <c r="G707" i="1"/>
  <c r="G706" i="1" s="1"/>
  <c r="H708" i="1"/>
  <c r="E710" i="1"/>
  <c r="E707" i="1" s="1"/>
  <c r="E706" i="1" s="1"/>
  <c r="E702" i="1" s="1"/>
  <c r="E698" i="1" s="1"/>
  <c r="F711" i="1"/>
  <c r="G711" i="1"/>
  <c r="H712" i="1"/>
  <c r="H713" i="1"/>
  <c r="I713" i="1" s="1"/>
  <c r="F714" i="1"/>
  <c r="G714" i="1"/>
  <c r="H715" i="1"/>
  <c r="H716" i="1"/>
  <c r="I716" i="1" s="1"/>
  <c r="E718" i="1"/>
  <c r="E717" i="1" s="1"/>
  <c r="G717" i="1"/>
  <c r="I717" i="1" s="1"/>
  <c r="F731" i="1"/>
  <c r="F730" i="1" s="1"/>
  <c r="G731" i="1"/>
  <c r="G730" i="1" s="1"/>
  <c r="H732" i="1"/>
  <c r="H731" i="1" s="1"/>
  <c r="H730" i="1" s="1"/>
  <c r="I732" i="1"/>
  <c r="I731" i="1" s="1"/>
  <c r="I730" i="1" s="1"/>
  <c r="E735" i="1"/>
  <c r="E734" i="1" s="1"/>
  <c r="F735" i="1"/>
  <c r="F734" i="1" s="1"/>
  <c r="G735" i="1"/>
  <c r="G734" i="1" s="1"/>
  <c r="H736" i="1"/>
  <c r="I736" i="1"/>
  <c r="E739" i="1"/>
  <c r="E738" i="1" s="1"/>
  <c r="F739" i="1"/>
  <c r="F738" i="1" s="1"/>
  <c r="G739" i="1"/>
  <c r="H740" i="1"/>
  <c r="I740" i="1"/>
  <c r="F743" i="1"/>
  <c r="G743" i="1"/>
  <c r="H744" i="1"/>
  <c r="H743" i="1" s="1"/>
  <c r="I744" i="1"/>
  <c r="I743" i="1" s="1"/>
  <c r="E746" i="1"/>
  <c r="E743" i="1" s="1"/>
  <c r="E742" i="1" s="1"/>
  <c r="F746" i="1"/>
  <c r="G746" i="1"/>
  <c r="H747" i="1"/>
  <c r="H746" i="1" s="1"/>
  <c r="I747" i="1"/>
  <c r="I746" i="1" s="1"/>
  <c r="E750" i="1"/>
  <c r="F750" i="1"/>
  <c r="G750" i="1"/>
  <c r="H751" i="1"/>
  <c r="H750" i="1" s="1"/>
  <c r="I751" i="1"/>
  <c r="I750" i="1" s="1"/>
  <c r="E752" i="1"/>
  <c r="F752" i="1"/>
  <c r="G752" i="1"/>
  <c r="H753" i="1"/>
  <c r="I753" i="1"/>
  <c r="H754" i="1"/>
  <c r="I754" i="1"/>
  <c r="F758" i="1"/>
  <c r="G758" i="1"/>
  <c r="H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F779" i="1"/>
  <c r="G779" i="1"/>
  <c r="H780" i="1"/>
  <c r="I780" i="1"/>
  <c r="H781" i="1"/>
  <c r="I781" i="1"/>
  <c r="F783" i="1"/>
  <c r="G783" i="1"/>
  <c r="H784" i="1"/>
  <c r="I784" i="1"/>
  <c r="H785" i="1"/>
  <c r="I785" i="1"/>
  <c r="E787" i="1"/>
  <c r="F788" i="1"/>
  <c r="F787" i="1" s="1"/>
  <c r="G788" i="1"/>
  <c r="G787" i="1" s="1"/>
  <c r="H789" i="1"/>
  <c r="H788" i="1" s="1"/>
  <c r="H787" i="1" s="1"/>
  <c r="I789" i="1"/>
  <c r="I788" i="1" s="1"/>
  <c r="I787" i="1" s="1"/>
  <c r="E791" i="1"/>
  <c r="F792" i="1"/>
  <c r="F791" i="1" s="1"/>
  <c r="G792" i="1"/>
  <c r="G791" i="1" s="1"/>
  <c r="H793" i="1"/>
  <c r="I793" i="1"/>
  <c r="H794" i="1"/>
  <c r="I794" i="1"/>
  <c r="F797" i="1"/>
  <c r="F796" i="1" s="1"/>
  <c r="G797" i="1"/>
  <c r="G796" i="1" s="1"/>
  <c r="H798" i="1"/>
  <c r="I798" i="1"/>
  <c r="H799" i="1"/>
  <c r="I799" i="1"/>
  <c r="H800" i="1"/>
  <c r="I800" i="1"/>
  <c r="H801" i="1"/>
  <c r="I801" i="1"/>
  <c r="H802" i="1"/>
  <c r="I802" i="1"/>
  <c r="F811" i="1"/>
  <c r="F810" i="1" s="1"/>
  <c r="F809" i="1" s="1"/>
  <c r="F814" i="1" s="1"/>
  <c r="G811" i="1"/>
  <c r="G810" i="1" s="1"/>
  <c r="G809" i="1" s="1"/>
  <c r="G814" i="1" s="1"/>
  <c r="H812" i="1"/>
  <c r="H811" i="1" s="1"/>
  <c r="H810" i="1" s="1"/>
  <c r="H809" i="1" s="1"/>
  <c r="H814" i="1" s="1"/>
  <c r="I812" i="1"/>
  <c r="I811" i="1" s="1"/>
  <c r="I810" i="1" s="1"/>
  <c r="I809" i="1" s="1"/>
  <c r="I814" i="1" s="1"/>
  <c r="E814" i="1"/>
  <c r="E822" i="1"/>
  <c r="E821" i="1" s="1"/>
  <c r="F822" i="1"/>
  <c r="F821" i="1" s="1"/>
  <c r="F820" i="1" s="1"/>
  <c r="F825" i="1" s="1"/>
  <c r="G822" i="1"/>
  <c r="G821" i="1" s="1"/>
  <c r="G820" i="1" s="1"/>
  <c r="G825" i="1" s="1"/>
  <c r="H823" i="1"/>
  <c r="H822" i="1" s="1"/>
  <c r="H821" i="1" s="1"/>
  <c r="H820" i="1" s="1"/>
  <c r="H825" i="1" s="1"/>
  <c r="I823" i="1"/>
  <c r="I822" i="1" s="1"/>
  <c r="I821" i="1" s="1"/>
  <c r="I820" i="1" s="1"/>
  <c r="I825" i="1" s="1"/>
  <c r="F835" i="1"/>
  <c r="I835" i="1" s="1"/>
  <c r="I834" i="1" s="1"/>
  <c r="I833" i="1" s="1"/>
  <c r="I832" i="1" s="1"/>
  <c r="I837" i="1" s="1"/>
  <c r="G835" i="1"/>
  <c r="G834" i="1" s="1"/>
  <c r="G833" i="1" s="1"/>
  <c r="G832" i="1" s="1"/>
  <c r="G837" i="1" s="1"/>
  <c r="E837" i="1"/>
  <c r="F848" i="1"/>
  <c r="F847" i="1" s="1"/>
  <c r="F846" i="1" s="1"/>
  <c r="F845" i="1" s="1"/>
  <c r="F850" i="1" s="1"/>
  <c r="G848" i="1"/>
  <c r="H848" i="1" s="1"/>
  <c r="H847" i="1" s="1"/>
  <c r="H846" i="1" s="1"/>
  <c r="H845" i="1" s="1"/>
  <c r="H850" i="1" s="1"/>
  <c r="E850" i="1"/>
  <c r="F857" i="1"/>
  <c r="G857" i="1"/>
  <c r="H858" i="1"/>
  <c r="H857" i="1" s="1"/>
  <c r="I858" i="1"/>
  <c r="I857" i="1" s="1"/>
  <c r="F860" i="1"/>
  <c r="G860" i="1"/>
  <c r="H861" i="1"/>
  <c r="I861" i="1"/>
  <c r="H862" i="1"/>
  <c r="I862" i="1"/>
  <c r="H863" i="1"/>
  <c r="I863" i="1"/>
  <c r="E864" i="1"/>
  <c r="F865" i="1"/>
  <c r="G865" i="1"/>
  <c r="H866" i="1"/>
  <c r="I866" i="1"/>
  <c r="H867" i="1"/>
  <c r="I867" i="1"/>
  <c r="H868" i="1"/>
  <c r="I868" i="1"/>
  <c r="H869" i="1"/>
  <c r="K869" i="1" s="1"/>
  <c r="I869" i="1"/>
  <c r="F870" i="1"/>
  <c r="G870" i="1"/>
  <c r="H871" i="1"/>
  <c r="H870" i="1" s="1"/>
  <c r="I871" i="1"/>
  <c r="I870" i="1" s="1"/>
  <c r="F874" i="1"/>
  <c r="F873" i="1" s="1"/>
  <c r="G874" i="1"/>
  <c r="G873" i="1" s="1"/>
  <c r="H875" i="1"/>
  <c r="H874" i="1" s="1"/>
  <c r="H873" i="1" s="1"/>
  <c r="I875" i="1"/>
  <c r="I874" i="1" s="1"/>
  <c r="I873" i="1" s="1"/>
  <c r="E877" i="1"/>
  <c r="F878" i="1"/>
  <c r="F877" i="1" s="1"/>
  <c r="G878" i="1"/>
  <c r="G877" i="1" s="1"/>
  <c r="H879" i="1"/>
  <c r="I879" i="1"/>
  <c r="H880" i="1"/>
  <c r="I880" i="1"/>
  <c r="F883" i="1"/>
  <c r="F882" i="1" s="1"/>
  <c r="G883" i="1"/>
  <c r="G882" i="1" s="1"/>
  <c r="H884" i="1"/>
  <c r="H883" i="1" s="1"/>
  <c r="H882" i="1" s="1"/>
  <c r="I884" i="1"/>
  <c r="I883" i="1" s="1"/>
  <c r="I882" i="1" s="1"/>
  <c r="E887" i="1"/>
  <c r="E886" i="1" s="1"/>
  <c r="F887" i="1"/>
  <c r="F886" i="1" s="1"/>
  <c r="G887" i="1"/>
  <c r="G886" i="1" s="1"/>
  <c r="H888" i="1"/>
  <c r="H887" i="1" s="1"/>
  <c r="H886" i="1" s="1"/>
  <c r="I888" i="1"/>
  <c r="I887" i="1" s="1"/>
  <c r="I886" i="1" s="1"/>
  <c r="F892" i="1"/>
  <c r="F891" i="1" s="1"/>
  <c r="G892" i="1"/>
  <c r="G891" i="1" s="1"/>
  <c r="H893" i="1"/>
  <c r="H892" i="1" s="1"/>
  <c r="H891" i="1" s="1"/>
  <c r="I893" i="1"/>
  <c r="I892" i="1" s="1"/>
  <c r="I891" i="1" s="1"/>
  <c r="F897" i="1"/>
  <c r="F896" i="1" s="1"/>
  <c r="G897" i="1"/>
  <c r="G896" i="1" s="1"/>
  <c r="H898" i="1"/>
  <c r="I898" i="1"/>
  <c r="H899" i="1"/>
  <c r="I899" i="1"/>
  <c r="H903" i="1"/>
  <c r="I903" i="1"/>
  <c r="H904" i="1"/>
  <c r="I904" i="1"/>
  <c r="F906" i="1"/>
  <c r="F902" i="1" s="1"/>
  <c r="F901" i="1" s="1"/>
  <c r="G906" i="1"/>
  <c r="G902" i="1" s="1"/>
  <c r="G901" i="1" s="1"/>
  <c r="H907" i="1"/>
  <c r="I907" i="1"/>
  <c r="H908" i="1"/>
  <c r="I908" i="1"/>
  <c r="H909" i="1"/>
  <c r="I909" i="1"/>
  <c r="H910" i="1"/>
  <c r="I910" i="1"/>
  <c r="H911" i="1"/>
  <c r="I911" i="1"/>
  <c r="H912" i="1"/>
  <c r="I912" i="1"/>
  <c r="F915" i="1"/>
  <c r="F914" i="1" s="1"/>
  <c r="G915" i="1"/>
  <c r="G914" i="1" s="1"/>
  <c r="H916" i="1"/>
  <c r="H915" i="1" s="1"/>
  <c r="H914" i="1" s="1"/>
  <c r="I916" i="1"/>
  <c r="I915" i="1" s="1"/>
  <c r="I914" i="1" s="1"/>
  <c r="F919" i="1"/>
  <c r="G919" i="1"/>
  <c r="H920" i="1"/>
  <c r="H919" i="1" s="1"/>
  <c r="I920" i="1"/>
  <c r="I919" i="1" s="1"/>
  <c r="F922" i="1"/>
  <c r="G922" i="1"/>
  <c r="H923" i="1"/>
  <c r="I923" i="1"/>
  <c r="H924" i="1"/>
  <c r="I924" i="1"/>
  <c r="E926" i="1"/>
  <c r="E925" i="1" s="1"/>
  <c r="E913" i="1" s="1"/>
  <c r="E949" i="1" s="1"/>
  <c r="F926" i="1"/>
  <c r="F925" i="1" s="1"/>
  <c r="G926" i="1"/>
  <c r="G925" i="1" s="1"/>
  <c r="H927" i="1"/>
  <c r="H926" i="1" s="1"/>
  <c r="H925" i="1" s="1"/>
  <c r="I927" i="1"/>
  <c r="I926" i="1" s="1"/>
  <c r="I925" i="1" s="1"/>
  <c r="F931" i="1"/>
  <c r="F930" i="1" s="1"/>
  <c r="G931" i="1"/>
  <c r="G930" i="1" s="1"/>
  <c r="H932" i="1"/>
  <c r="H931" i="1" s="1"/>
  <c r="H930" i="1" s="1"/>
  <c r="I932" i="1"/>
  <c r="I931" i="1" s="1"/>
  <c r="I930" i="1" s="1"/>
  <c r="F935" i="1"/>
  <c r="F934" i="1" s="1"/>
  <c r="G935" i="1"/>
  <c r="G934" i="1" s="1"/>
  <c r="H935" i="1"/>
  <c r="H934" i="1" s="1"/>
  <c r="I935" i="1"/>
  <c r="I934" i="1" s="1"/>
  <c r="F942" i="1"/>
  <c r="F941" i="1" s="1"/>
  <c r="G942" i="1"/>
  <c r="G941" i="1" s="1"/>
  <c r="H942" i="1"/>
  <c r="H941" i="1" s="1"/>
  <c r="I942" i="1"/>
  <c r="I941" i="1" s="1"/>
  <c r="K943" i="1"/>
  <c r="K944" i="1"/>
  <c r="F947" i="1"/>
  <c r="F946" i="1" s="1"/>
  <c r="G947" i="1"/>
  <c r="G946" i="1" s="1"/>
  <c r="H948" i="1"/>
  <c r="H947" i="1" s="1"/>
  <c r="H946" i="1" s="1"/>
  <c r="I948" i="1"/>
  <c r="I947" i="1" s="1"/>
  <c r="I946" i="1" s="1"/>
  <c r="E956" i="1"/>
  <c r="E955" i="1" s="1"/>
  <c r="F957" i="1"/>
  <c r="F956" i="1" s="1"/>
  <c r="F955" i="1" s="1"/>
  <c r="F959" i="1" s="1"/>
  <c r="G957" i="1"/>
  <c r="G956" i="1" s="1"/>
  <c r="G955" i="1" s="1"/>
  <c r="G959" i="1" s="1"/>
  <c r="H958" i="1"/>
  <c r="H957" i="1" s="1"/>
  <c r="H956" i="1" s="1"/>
  <c r="H955" i="1" s="1"/>
  <c r="H959" i="1" s="1"/>
  <c r="I958" i="1"/>
  <c r="I957" i="1" s="1"/>
  <c r="I956" i="1" s="1"/>
  <c r="I955" i="1" s="1"/>
  <c r="I959" i="1" s="1"/>
  <c r="G306" i="1"/>
  <c r="E453" i="1"/>
  <c r="F453" i="1"/>
  <c r="F622" i="1"/>
  <c r="E622" i="1"/>
  <c r="E583" i="1"/>
  <c r="E510" i="1"/>
  <c r="E477" i="1"/>
  <c r="E438" i="1"/>
  <c r="E400" i="1"/>
  <c r="E397" i="1" s="1"/>
  <c r="F308" i="1"/>
  <c r="E308" i="1"/>
  <c r="E307" i="1"/>
  <c r="E296" i="1"/>
  <c r="F259" i="1"/>
  <c r="F257" i="1" s="1"/>
  <c r="E259" i="1"/>
  <c r="E257" i="1" s="1"/>
  <c r="F267" i="1"/>
  <c r="G267" i="1"/>
  <c r="H268" i="1"/>
  <c r="I268" i="1" s="1"/>
  <c r="F189" i="1"/>
  <c r="E189" i="1"/>
  <c r="F181" i="1"/>
  <c r="E181" i="1"/>
  <c r="E177" i="1"/>
  <c r="E153" i="1"/>
  <c r="F84" i="1"/>
  <c r="E84" i="1"/>
  <c r="H714" i="1" l="1"/>
  <c r="I714" i="1" s="1"/>
  <c r="I715" i="1"/>
  <c r="H694" i="1"/>
  <c r="I695" i="1"/>
  <c r="H707" i="1"/>
  <c r="I708" i="1"/>
  <c r="H664" i="1"/>
  <c r="I664" i="1" s="1"/>
  <c r="I665" i="1"/>
  <c r="G397" i="1"/>
  <c r="I403" i="1"/>
  <c r="H711" i="1"/>
  <c r="I711" i="1" s="1"/>
  <c r="I712" i="1"/>
  <c r="H652" i="1"/>
  <c r="I653" i="1"/>
  <c r="F511" i="1"/>
  <c r="F461" i="1"/>
  <c r="F537" i="1"/>
  <c r="F542" i="1"/>
  <c r="I779" i="1"/>
  <c r="F481" i="1"/>
  <c r="E663" i="1"/>
  <c r="E662" i="1" s="1"/>
  <c r="E722" i="1" s="1"/>
  <c r="F468" i="1"/>
  <c r="H779" i="1"/>
  <c r="H752" i="1"/>
  <c r="H749" i="1" s="1"/>
  <c r="G847" i="1"/>
  <c r="G846" i="1" s="1"/>
  <c r="G845" i="1" s="1"/>
  <c r="G850" i="1" s="1"/>
  <c r="H734" i="1"/>
  <c r="F834" i="1"/>
  <c r="F833" i="1" s="1"/>
  <c r="F832" i="1" s="1"/>
  <c r="F837" i="1" s="1"/>
  <c r="I783" i="1"/>
  <c r="G651" i="1"/>
  <c r="H897" i="1"/>
  <c r="H896" i="1" s="1"/>
  <c r="I865" i="1"/>
  <c r="I864" i="1" s="1"/>
  <c r="I913" i="1"/>
  <c r="H922" i="1"/>
  <c r="H918" i="1" s="1"/>
  <c r="I878" i="1"/>
  <c r="I877" i="1" s="1"/>
  <c r="H878" i="1"/>
  <c r="H877" i="1" s="1"/>
  <c r="F918" i="1"/>
  <c r="H688" i="1"/>
  <c r="H865" i="1"/>
  <c r="H864" i="1" s="1"/>
  <c r="F663" i="1"/>
  <c r="G710" i="1"/>
  <c r="G757" i="1"/>
  <c r="G756" i="1" s="1"/>
  <c r="G748" i="1" s="1"/>
  <c r="H658" i="1"/>
  <c r="G918" i="1"/>
  <c r="H783" i="1"/>
  <c r="H860" i="1"/>
  <c r="H856" i="1" s="1"/>
  <c r="I792" i="1"/>
  <c r="I791" i="1" s="1"/>
  <c r="H792" i="1"/>
  <c r="H791" i="1" s="1"/>
  <c r="I742" i="1"/>
  <c r="G663" i="1"/>
  <c r="I739" i="1"/>
  <c r="H735" i="1"/>
  <c r="H797" i="1"/>
  <c r="H796" i="1" s="1"/>
  <c r="I752" i="1"/>
  <c r="I749" i="1" s="1"/>
  <c r="I758" i="1"/>
  <c r="H742" i="1"/>
  <c r="H739" i="1"/>
  <c r="M1056" i="1" s="1"/>
  <c r="G856" i="1"/>
  <c r="I734" i="1"/>
  <c r="F651" i="1"/>
  <c r="I922" i="1"/>
  <c r="I918" i="1" s="1"/>
  <c r="I860" i="1"/>
  <c r="I856" i="1" s="1"/>
  <c r="F856" i="1"/>
  <c r="I797" i="1"/>
  <c r="I796" i="1" s="1"/>
  <c r="G742" i="1"/>
  <c r="H698" i="1"/>
  <c r="I698" i="1" s="1"/>
  <c r="H666" i="1"/>
  <c r="H929" i="1"/>
  <c r="G749" i="1"/>
  <c r="F742" i="1"/>
  <c r="H702" i="1"/>
  <c r="I702" i="1" s="1"/>
  <c r="F913" i="1"/>
  <c r="H906" i="1"/>
  <c r="H902" i="1" s="1"/>
  <c r="H901" i="1" s="1"/>
  <c r="F749" i="1"/>
  <c r="H671" i="1"/>
  <c r="I671" i="1" s="1"/>
  <c r="G929" i="1"/>
  <c r="I906" i="1"/>
  <c r="I902" i="1" s="1"/>
  <c r="I901" i="1" s="1"/>
  <c r="E749" i="1"/>
  <c r="G738" i="1"/>
  <c r="H738" i="1" s="1"/>
  <c r="F929" i="1"/>
  <c r="I897" i="1"/>
  <c r="I896" i="1" s="1"/>
  <c r="G864" i="1"/>
  <c r="F757" i="1"/>
  <c r="F756" i="1" s="1"/>
  <c r="F748" i="1" s="1"/>
  <c r="G697" i="1"/>
  <c r="F864" i="1"/>
  <c r="F710" i="1"/>
  <c r="F697" i="1"/>
  <c r="H670" i="1"/>
  <c r="I670" i="1" s="1"/>
  <c r="G890" i="1"/>
  <c r="F890" i="1"/>
  <c r="E820" i="1"/>
  <c r="E825" i="1" s="1"/>
  <c r="E797" i="1" s="1"/>
  <c r="E796" i="1" s="1"/>
  <c r="G913" i="1"/>
  <c r="I738" i="1"/>
  <c r="F729" i="1"/>
  <c r="I929" i="1"/>
  <c r="H913" i="1"/>
  <c r="I848" i="1"/>
  <c r="I847" i="1" s="1"/>
  <c r="I846" i="1" s="1"/>
  <c r="I845" i="1" s="1"/>
  <c r="I850" i="1" s="1"/>
  <c r="H835" i="1"/>
  <c r="H834" i="1" s="1"/>
  <c r="H833" i="1" s="1"/>
  <c r="H832" i="1" s="1"/>
  <c r="H837" i="1" s="1"/>
  <c r="E697" i="1"/>
  <c r="I735" i="1"/>
  <c r="E536" i="1"/>
  <c r="F306" i="1"/>
  <c r="E306" i="1"/>
  <c r="H267" i="1"/>
  <c r="I267" i="1" s="1"/>
  <c r="I652" i="1" l="1"/>
  <c r="H651" i="1"/>
  <c r="H722" i="1" s="1"/>
  <c r="H687" i="1"/>
  <c r="I687" i="1" s="1"/>
  <c r="I688" i="1"/>
  <c r="H657" i="1"/>
  <c r="I658" i="1"/>
  <c r="H710" i="1"/>
  <c r="I710" i="1" s="1"/>
  <c r="H706" i="1"/>
  <c r="I706" i="1" s="1"/>
  <c r="I707" i="1"/>
  <c r="H663" i="1"/>
  <c r="I663" i="1" s="1"/>
  <c r="I666" i="1"/>
  <c r="H693" i="1"/>
  <c r="I693" i="1" s="1"/>
  <c r="I694" i="1"/>
  <c r="I855" i="1"/>
  <c r="H757" i="1"/>
  <c r="H756" i="1" s="1"/>
  <c r="H748" i="1" s="1"/>
  <c r="I757" i="1"/>
  <c r="I756" i="1" s="1"/>
  <c r="I748" i="1" s="1"/>
  <c r="H890" i="1"/>
  <c r="H697" i="1"/>
  <c r="H729" i="1"/>
  <c r="I729" i="1"/>
  <c r="F855" i="1"/>
  <c r="F949" i="1" s="1"/>
  <c r="I890" i="1"/>
  <c r="E748" i="1"/>
  <c r="E803" i="1" s="1"/>
  <c r="F662" i="1"/>
  <c r="F722" i="1" s="1"/>
  <c r="G662" i="1"/>
  <c r="G722" i="1" s="1"/>
  <c r="G855" i="1"/>
  <c r="G949" i="1" s="1"/>
  <c r="H855" i="1"/>
  <c r="G729" i="1"/>
  <c r="G803" i="1" s="1"/>
  <c r="F803" i="1"/>
  <c r="F176" i="1"/>
  <c r="H436" i="1"/>
  <c r="G176" i="1"/>
  <c r="K1053" i="1" s="1"/>
  <c r="H227" i="1"/>
  <c r="I227" i="1" s="1"/>
  <c r="H225" i="1"/>
  <c r="I225" i="1" s="1"/>
  <c r="H619" i="1"/>
  <c r="L1065" i="1"/>
  <c r="G618" i="1"/>
  <c r="K1065" i="1" s="1"/>
  <c r="F618" i="1"/>
  <c r="E618" i="1"/>
  <c r="H662" i="1" l="1"/>
  <c r="I697" i="1"/>
  <c r="H618" i="1"/>
  <c r="I619" i="1"/>
  <c r="I651" i="1"/>
  <c r="I657" i="1"/>
  <c r="H435" i="1"/>
  <c r="I436" i="1"/>
  <c r="H949" i="1"/>
  <c r="I949" i="1"/>
  <c r="I803" i="1"/>
  <c r="H803" i="1"/>
  <c r="I1188" i="1"/>
  <c r="I1182" i="1"/>
  <c r="I1179" i="1"/>
  <c r="I1157" i="1"/>
  <c r="I1143" i="1"/>
  <c r="I1107" i="1"/>
  <c r="N1078" i="1"/>
  <c r="M1078" i="1"/>
  <c r="L1078" i="1"/>
  <c r="K1078" i="1"/>
  <c r="N1075" i="1"/>
  <c r="M1075" i="1"/>
  <c r="L1075" i="1"/>
  <c r="K1075" i="1"/>
  <c r="I1072" i="1"/>
  <c r="I1071" i="1"/>
  <c r="I1067" i="1"/>
  <c r="I1055" i="1"/>
  <c r="I1031" i="1"/>
  <c r="N1024" i="1"/>
  <c r="M1024" i="1"/>
  <c r="L1024" i="1"/>
  <c r="K1024" i="1"/>
  <c r="I998" i="1"/>
  <c r="E981" i="1"/>
  <c r="I980" i="1"/>
  <c r="H980" i="1"/>
  <c r="G979" i="1"/>
  <c r="H979" i="1" s="1"/>
  <c r="F979" i="1"/>
  <c r="I979" i="1" s="1"/>
  <c r="G978" i="1"/>
  <c r="H978" i="1" s="1"/>
  <c r="F978" i="1"/>
  <c r="I978" i="1" s="1"/>
  <c r="G977" i="1"/>
  <c r="H977" i="1" s="1"/>
  <c r="F977" i="1"/>
  <c r="I977" i="1" s="1"/>
  <c r="L1169" i="1"/>
  <c r="L1167" i="1" s="1"/>
  <c r="G972" i="1"/>
  <c r="H972" i="1" s="1"/>
  <c r="H971" i="1" s="1"/>
  <c r="M1043" i="1" s="1"/>
  <c r="M1042" i="1" s="1"/>
  <c r="F972" i="1"/>
  <c r="L1043" i="1"/>
  <c r="L1042" i="1" s="1"/>
  <c r="I970" i="1"/>
  <c r="I969" i="1" s="1"/>
  <c r="H970" i="1"/>
  <c r="H969" i="1" s="1"/>
  <c r="G969" i="1"/>
  <c r="F969" i="1"/>
  <c r="L1177" i="1"/>
  <c r="L1176" i="1" s="1"/>
  <c r="L1096" i="1"/>
  <c r="L1095" i="1" s="1"/>
  <c r="K1096" i="1"/>
  <c r="K1095" i="1" s="1"/>
  <c r="H636" i="1"/>
  <c r="H635" i="1"/>
  <c r="G634" i="1"/>
  <c r="F634" i="1"/>
  <c r="H633" i="1"/>
  <c r="H632" i="1"/>
  <c r="G631" i="1"/>
  <c r="F631" i="1"/>
  <c r="G630" i="1"/>
  <c r="H630" i="1" s="1"/>
  <c r="H629" i="1" s="1"/>
  <c r="F630" i="1"/>
  <c r="H628" i="1"/>
  <c r="E627" i="1"/>
  <c r="H626" i="1"/>
  <c r="H625" i="1" s="1"/>
  <c r="M1064" i="1" s="1"/>
  <c r="N1064" i="1"/>
  <c r="L1064" i="1"/>
  <c r="E625" i="1"/>
  <c r="H621" i="1"/>
  <c r="H617" i="1" s="1"/>
  <c r="G621" i="1"/>
  <c r="F621" i="1"/>
  <c r="E621" i="1"/>
  <c r="E617" i="1" s="1"/>
  <c r="E608" i="1"/>
  <c r="F602" i="1"/>
  <c r="F601" i="1" s="1"/>
  <c r="E602" i="1"/>
  <c r="E601" i="1" s="1"/>
  <c r="H599" i="1"/>
  <c r="G598" i="1"/>
  <c r="G597" i="1" s="1"/>
  <c r="F598" i="1"/>
  <c r="F597" i="1" s="1"/>
  <c r="E598" i="1"/>
  <c r="E597" i="1" s="1"/>
  <c r="H595" i="1"/>
  <c r="I595" i="1" s="1"/>
  <c r="H581" i="1"/>
  <c r="I581" i="1" s="1"/>
  <c r="H580" i="1"/>
  <c r="I580" i="1" s="1"/>
  <c r="H579" i="1"/>
  <c r="I579" i="1" s="1"/>
  <c r="H578" i="1"/>
  <c r="I578" i="1" s="1"/>
  <c r="H577" i="1"/>
  <c r="I577" i="1" s="1"/>
  <c r="H576" i="1"/>
  <c r="I576" i="1" s="1"/>
  <c r="L1172" i="1"/>
  <c r="H534" i="1"/>
  <c r="H533" i="1"/>
  <c r="L1165" i="1"/>
  <c r="L1164" i="1" s="1"/>
  <c r="G532" i="1"/>
  <c r="K1165" i="1" s="1"/>
  <c r="K1164" i="1" s="1"/>
  <c r="F532" i="1"/>
  <c r="E532" i="1"/>
  <c r="E531" i="1" s="1"/>
  <c r="H530" i="1"/>
  <c r="H529" i="1"/>
  <c r="H528" i="1"/>
  <c r="H527" i="1"/>
  <c r="L1162" i="1"/>
  <c r="G526" i="1"/>
  <c r="K1162" i="1" s="1"/>
  <c r="F526" i="1"/>
  <c r="E526" i="1"/>
  <c r="H524" i="1"/>
  <c r="H523" i="1" s="1"/>
  <c r="N1161" i="1"/>
  <c r="L1161" i="1"/>
  <c r="G523" i="1"/>
  <c r="K1161" i="1" s="1"/>
  <c r="F523" i="1"/>
  <c r="E523" i="1"/>
  <c r="E522" i="1" s="1"/>
  <c r="H520" i="1"/>
  <c r="H519" i="1"/>
  <c r="L1158" i="1"/>
  <c r="G517" i="1"/>
  <c r="K1158" i="1" s="1"/>
  <c r="F517" i="1"/>
  <c r="H508" i="1"/>
  <c r="G507" i="1"/>
  <c r="G506" i="1" s="1"/>
  <c r="F507" i="1"/>
  <c r="F506" i="1" s="1"/>
  <c r="H505" i="1"/>
  <c r="I505" i="1" s="1"/>
  <c r="H504" i="1"/>
  <c r="I504" i="1" s="1"/>
  <c r="L1154" i="1"/>
  <c r="L1153" i="1" s="1"/>
  <c r="G503" i="1"/>
  <c r="K1154" i="1" s="1"/>
  <c r="K1153" i="1" s="1"/>
  <c r="F503" i="1"/>
  <c r="E503" i="1"/>
  <c r="E502" i="1" s="1"/>
  <c r="G500" i="1"/>
  <c r="H500" i="1" s="1"/>
  <c r="F500" i="1"/>
  <c r="L1151" i="1"/>
  <c r="L1150" i="1" s="1"/>
  <c r="H497" i="1"/>
  <c r="I497" i="1" s="1"/>
  <c r="H496" i="1"/>
  <c r="I496" i="1" s="1"/>
  <c r="G495" i="1"/>
  <c r="F495" i="1"/>
  <c r="H493" i="1"/>
  <c r="I493" i="1" s="1"/>
  <c r="H492" i="1"/>
  <c r="I492" i="1" s="1"/>
  <c r="L1148" i="1"/>
  <c r="H489" i="1"/>
  <c r="I489" i="1" s="1"/>
  <c r="H488" i="1"/>
  <c r="I488" i="1" s="1"/>
  <c r="L1147" i="1"/>
  <c r="G487" i="1"/>
  <c r="K1147" i="1" s="1"/>
  <c r="F487" i="1"/>
  <c r="E486" i="1"/>
  <c r="G480" i="1"/>
  <c r="F480" i="1"/>
  <c r="E480" i="1"/>
  <c r="M1137" i="1"/>
  <c r="N1137" i="1"/>
  <c r="L1137" i="1"/>
  <c r="H474" i="1"/>
  <c r="I474" i="1" s="1"/>
  <c r="H473" i="1"/>
  <c r="I473" i="1" s="1"/>
  <c r="H459" i="1"/>
  <c r="I459" i="1" s="1"/>
  <c r="H451" i="1"/>
  <c r="I451" i="1" s="1"/>
  <c r="H450" i="1"/>
  <c r="I450" i="1" s="1"/>
  <c r="H449" i="1"/>
  <c r="I449" i="1" s="1"/>
  <c r="H448" i="1"/>
  <c r="I448" i="1" s="1"/>
  <c r="G447" i="1"/>
  <c r="F447" i="1"/>
  <c r="E447" i="1"/>
  <c r="G435" i="1"/>
  <c r="F435" i="1"/>
  <c r="E435" i="1"/>
  <c r="H434" i="1"/>
  <c r="I434" i="1" s="1"/>
  <c r="H433" i="1"/>
  <c r="I433" i="1" s="1"/>
  <c r="H432" i="1"/>
  <c r="I432" i="1" s="1"/>
  <c r="F431" i="1"/>
  <c r="E431" i="1"/>
  <c r="H429" i="1"/>
  <c r="H428" i="1"/>
  <c r="H427" i="1"/>
  <c r="H426" i="1"/>
  <c r="F424" i="1"/>
  <c r="E424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F397" i="1"/>
  <c r="H393" i="1"/>
  <c r="G392" i="1"/>
  <c r="F392" i="1"/>
  <c r="E392" i="1"/>
  <c r="H391" i="1"/>
  <c r="L1063" i="1"/>
  <c r="G390" i="1"/>
  <c r="K1063" i="1" s="1"/>
  <c r="F390" i="1"/>
  <c r="E390" i="1"/>
  <c r="H386" i="1"/>
  <c r="I386" i="1" s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H379" i="1"/>
  <c r="I379" i="1" s="1"/>
  <c r="H378" i="1"/>
  <c r="I378" i="1" s="1"/>
  <c r="L1133" i="1"/>
  <c r="G377" i="1"/>
  <c r="K1133" i="1" s="1"/>
  <c r="F377" i="1"/>
  <c r="E377" i="1"/>
  <c r="H375" i="1"/>
  <c r="E374" i="1"/>
  <c r="L1132" i="1"/>
  <c r="G374" i="1"/>
  <c r="K1132" i="1" s="1"/>
  <c r="F374" i="1"/>
  <c r="H369" i="1"/>
  <c r="G369" i="1"/>
  <c r="F369" i="1"/>
  <c r="E369" i="1"/>
  <c r="E368" i="1" s="1"/>
  <c r="H366" i="1"/>
  <c r="G365" i="1"/>
  <c r="F365" i="1"/>
  <c r="E365" i="1"/>
  <c r="H364" i="1"/>
  <c r="G363" i="1"/>
  <c r="F363" i="1"/>
  <c r="E363" i="1"/>
  <c r="H360" i="1"/>
  <c r="G359" i="1"/>
  <c r="K1123" i="1" s="1"/>
  <c r="K1122" i="1" s="1"/>
  <c r="F359" i="1"/>
  <c r="E359" i="1"/>
  <c r="E358" i="1" s="1"/>
  <c r="H356" i="1"/>
  <c r="G355" i="1"/>
  <c r="F355" i="1"/>
  <c r="E355" i="1"/>
  <c r="H353" i="1"/>
  <c r="I353" i="1" s="1"/>
  <c r="H352" i="1"/>
  <c r="I352" i="1" s="1"/>
  <c r="F350" i="1"/>
  <c r="E350" i="1"/>
  <c r="H349" i="1"/>
  <c r="I349" i="1" s="1"/>
  <c r="G347" i="1"/>
  <c r="K1119" i="1" s="1"/>
  <c r="F347" i="1"/>
  <c r="E347" i="1"/>
  <c r="H344" i="1"/>
  <c r="I344" i="1" s="1"/>
  <c r="H343" i="1"/>
  <c r="I343" i="1" s="1"/>
  <c r="G342" i="1"/>
  <c r="F342" i="1"/>
  <c r="E342" i="1"/>
  <c r="H340" i="1"/>
  <c r="L1116" i="1"/>
  <c r="L1115" i="1" s="1"/>
  <c r="G339" i="1"/>
  <c r="F339" i="1"/>
  <c r="E339" i="1"/>
  <c r="H336" i="1"/>
  <c r="G335" i="1"/>
  <c r="F335" i="1"/>
  <c r="E335" i="1"/>
  <c r="H333" i="1"/>
  <c r="L1112" i="1"/>
  <c r="L1111" i="1" s="1"/>
  <c r="G332" i="1"/>
  <c r="K1112" i="1" s="1"/>
  <c r="K1111" i="1" s="1"/>
  <c r="F332" i="1"/>
  <c r="E332" i="1"/>
  <c r="H329" i="1"/>
  <c r="I329" i="1" s="1"/>
  <c r="H328" i="1"/>
  <c r="I328" i="1" s="1"/>
  <c r="H327" i="1"/>
  <c r="I327" i="1" s="1"/>
  <c r="F325" i="1"/>
  <c r="E325" i="1"/>
  <c r="H324" i="1"/>
  <c r="I324" i="1" s="1"/>
  <c r="H323" i="1"/>
  <c r="I323" i="1" s="1"/>
  <c r="L1108" i="1"/>
  <c r="G322" i="1"/>
  <c r="K1108" i="1" s="1"/>
  <c r="F322" i="1"/>
  <c r="E322" i="1"/>
  <c r="H319" i="1"/>
  <c r="G318" i="1"/>
  <c r="K1061" i="1" s="1"/>
  <c r="F318" i="1"/>
  <c r="E318" i="1"/>
  <c r="E317" i="1" s="1"/>
  <c r="L1099" i="1"/>
  <c r="L1098" i="1" s="1"/>
  <c r="H306" i="1"/>
  <c r="I306" i="1" s="1"/>
  <c r="E305" i="1"/>
  <c r="H303" i="1"/>
  <c r="L1093" i="1"/>
  <c r="G302" i="1"/>
  <c r="K1093" i="1" s="1"/>
  <c r="F302" i="1"/>
  <c r="E302" i="1"/>
  <c r="H300" i="1"/>
  <c r="L1092" i="1"/>
  <c r="G299" i="1"/>
  <c r="F299" i="1"/>
  <c r="E299" i="1"/>
  <c r="H295" i="1"/>
  <c r="H294" i="1" s="1"/>
  <c r="G295" i="1"/>
  <c r="F295" i="1"/>
  <c r="F294" i="1" s="1"/>
  <c r="E295" i="1"/>
  <c r="E294" i="1" s="1"/>
  <c r="H292" i="1"/>
  <c r="G291" i="1"/>
  <c r="F291" i="1"/>
  <c r="E291" i="1"/>
  <c r="H280" i="1"/>
  <c r="L1086" i="1"/>
  <c r="L1085" i="1" s="1"/>
  <c r="G279" i="1"/>
  <c r="E279" i="1"/>
  <c r="E278" i="1" s="1"/>
  <c r="H276" i="1"/>
  <c r="I276" i="1" s="1"/>
  <c r="H275" i="1"/>
  <c r="I275" i="1" s="1"/>
  <c r="L1083" i="1"/>
  <c r="G274" i="1"/>
  <c r="K1083" i="1" s="1"/>
  <c r="F274" i="1"/>
  <c r="E274" i="1"/>
  <c r="H272" i="1"/>
  <c r="L1082" i="1"/>
  <c r="G271" i="1"/>
  <c r="K1082" i="1" s="1"/>
  <c r="F271" i="1"/>
  <c r="E271" i="1"/>
  <c r="H255" i="1"/>
  <c r="G254" i="1"/>
  <c r="F254" i="1"/>
  <c r="E254" i="1"/>
  <c r="H251" i="1"/>
  <c r="I251" i="1" s="1"/>
  <c r="L1069" i="1"/>
  <c r="G250" i="1"/>
  <c r="F250" i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0" i="1"/>
  <c r="I230" i="1" s="1"/>
  <c r="E223" i="1"/>
  <c r="G220" i="1"/>
  <c r="E220" i="1"/>
  <c r="H217" i="1"/>
  <c r="G216" i="1"/>
  <c r="F216" i="1"/>
  <c r="E216" i="1"/>
  <c r="H215" i="1"/>
  <c r="I215" i="1" s="1"/>
  <c r="H214" i="1"/>
  <c r="I214" i="1" s="1"/>
  <c r="L1059" i="1"/>
  <c r="G213" i="1"/>
  <c r="K1059" i="1" s="1"/>
  <c r="E213" i="1"/>
  <c r="H209" i="1"/>
  <c r="G208" i="1"/>
  <c r="G207" i="1" s="1"/>
  <c r="F208" i="1"/>
  <c r="F207" i="1" s="1"/>
  <c r="E208" i="1"/>
  <c r="E207" i="1" s="1"/>
  <c r="H205" i="1"/>
  <c r="G204" i="1"/>
  <c r="G203" i="1" s="1"/>
  <c r="F204" i="1"/>
  <c r="F203" i="1" s="1"/>
  <c r="E204" i="1"/>
  <c r="E203" i="1" s="1"/>
  <c r="H201" i="1"/>
  <c r="I201" i="1" s="1"/>
  <c r="H200" i="1"/>
  <c r="I200" i="1" s="1"/>
  <c r="H199" i="1"/>
  <c r="H197" i="1"/>
  <c r="I197" i="1" s="1"/>
  <c r="H196" i="1"/>
  <c r="I196" i="1" s="1"/>
  <c r="H195" i="1"/>
  <c r="I195" i="1" s="1"/>
  <c r="H193" i="1"/>
  <c r="I193" i="1" s="1"/>
  <c r="H192" i="1"/>
  <c r="I192" i="1" s="1"/>
  <c r="H191" i="1"/>
  <c r="I191" i="1" s="1"/>
  <c r="H190" i="1"/>
  <c r="E188" i="1"/>
  <c r="E187" i="1" s="1"/>
  <c r="H185" i="1"/>
  <c r="I185" i="1" s="1"/>
  <c r="G184" i="1"/>
  <c r="G183" i="1" s="1"/>
  <c r="F184" i="1"/>
  <c r="E184" i="1"/>
  <c r="E183" i="1" s="1"/>
  <c r="G180" i="1"/>
  <c r="I180" i="1" s="1"/>
  <c r="N1056" i="1" s="1"/>
  <c r="F180" i="1"/>
  <c r="E180" i="1"/>
  <c r="E179" i="1" s="1"/>
  <c r="H176" i="1"/>
  <c r="I176" i="1" s="1"/>
  <c r="E176" i="1"/>
  <c r="E175" i="1" s="1"/>
  <c r="G175" i="1"/>
  <c r="F175" i="1"/>
  <c r="G172" i="1"/>
  <c r="I172" i="1" s="1"/>
  <c r="F172" i="1"/>
  <c r="E172" i="1"/>
  <c r="E171" i="1" s="1"/>
  <c r="H169" i="1"/>
  <c r="I169" i="1" s="1"/>
  <c r="H168" i="1"/>
  <c r="I168" i="1" s="1"/>
  <c r="L1049" i="1"/>
  <c r="F167" i="1"/>
  <c r="E167" i="1"/>
  <c r="E166" i="1" s="1"/>
  <c r="H164" i="1"/>
  <c r="I164" i="1" s="1"/>
  <c r="H163" i="1"/>
  <c r="I163" i="1" s="1"/>
  <c r="L1047" i="1"/>
  <c r="G162" i="1"/>
  <c r="K1047" i="1" s="1"/>
  <c r="F162" i="1"/>
  <c r="E162" i="1"/>
  <c r="H160" i="1"/>
  <c r="I160" i="1" s="1"/>
  <c r="H159" i="1"/>
  <c r="I159" i="1" s="1"/>
  <c r="L1046" i="1"/>
  <c r="G158" i="1"/>
  <c r="K1046" i="1" s="1"/>
  <c r="F158" i="1"/>
  <c r="E158" i="1"/>
  <c r="H156" i="1"/>
  <c r="I156" i="1" s="1"/>
  <c r="H155" i="1"/>
  <c r="I155" i="1" s="1"/>
  <c r="H154" i="1"/>
  <c r="I154" i="1" s="1"/>
  <c r="H152" i="1"/>
  <c r="G152" i="1"/>
  <c r="F152" i="1"/>
  <c r="E152" i="1"/>
  <c r="E151" i="1" s="1"/>
  <c r="H149" i="1"/>
  <c r="I149" i="1" s="1"/>
  <c r="H148" i="1"/>
  <c r="I148" i="1" s="1"/>
  <c r="H147" i="1"/>
  <c r="I147" i="1" s="1"/>
  <c r="H146" i="1"/>
  <c r="I146" i="1" s="1"/>
  <c r="H145" i="1"/>
  <c r="I145" i="1" s="1"/>
  <c r="E142" i="1"/>
  <c r="H144" i="1"/>
  <c r="I144" i="1" s="1"/>
  <c r="H143" i="1"/>
  <c r="I143" i="1" s="1"/>
  <c r="L1037" i="1"/>
  <c r="L1035" i="1" s="1"/>
  <c r="G142" i="1"/>
  <c r="K1037" i="1" s="1"/>
  <c r="K1035" i="1" s="1"/>
  <c r="H141" i="1"/>
  <c r="G140" i="1"/>
  <c r="F140" i="1"/>
  <c r="E140" i="1"/>
  <c r="H137" i="1"/>
  <c r="G136" i="1"/>
  <c r="G135" i="1" s="1"/>
  <c r="F136" i="1"/>
  <c r="F135" i="1" s="1"/>
  <c r="E136" i="1"/>
  <c r="E135" i="1" s="1"/>
  <c r="H133" i="1"/>
  <c r="I133" i="1" s="1"/>
  <c r="H132" i="1"/>
  <c r="I132" i="1" s="1"/>
  <c r="G131" i="1"/>
  <c r="F131" i="1"/>
  <c r="E131" i="1"/>
  <c r="H130" i="1"/>
  <c r="I130" i="1" s="1"/>
  <c r="H129" i="1"/>
  <c r="H128" i="1"/>
  <c r="I128" i="1" s="1"/>
  <c r="H127" i="1"/>
  <c r="I127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E118" i="1"/>
  <c r="F118" i="1"/>
  <c r="H115" i="1"/>
  <c r="I115" i="1" s="1"/>
  <c r="H114" i="1"/>
  <c r="I114" i="1" s="1"/>
  <c r="H113" i="1"/>
  <c r="I113" i="1" s="1"/>
  <c r="L1029" i="1"/>
  <c r="G112" i="1"/>
  <c r="K1029" i="1" s="1"/>
  <c r="F112" i="1"/>
  <c r="E112" i="1"/>
  <c r="H110" i="1"/>
  <c r="I110" i="1" s="1"/>
  <c r="H109" i="1"/>
  <c r="I109" i="1" s="1"/>
  <c r="L1028" i="1"/>
  <c r="G108" i="1"/>
  <c r="K1028" i="1" s="1"/>
  <c r="F108" i="1"/>
  <c r="E108" i="1"/>
  <c r="H105" i="1"/>
  <c r="G104" i="1"/>
  <c r="G103" i="1" s="1"/>
  <c r="F104" i="1"/>
  <c r="F103" i="1" s="1"/>
  <c r="E104" i="1"/>
  <c r="E103" i="1" s="1"/>
  <c r="H101" i="1"/>
  <c r="I101" i="1" s="1"/>
  <c r="H100" i="1"/>
  <c r="I100" i="1" s="1"/>
  <c r="H99" i="1"/>
  <c r="I99" i="1" s="1"/>
  <c r="H98" i="1"/>
  <c r="I98" i="1" s="1"/>
  <c r="H97" i="1"/>
  <c r="I97" i="1" s="1"/>
  <c r="L1021" i="1"/>
  <c r="E95" i="1"/>
  <c r="H94" i="1"/>
  <c r="I94" i="1" s="1"/>
  <c r="H93" i="1"/>
  <c r="I93" i="1" s="1"/>
  <c r="H92" i="1"/>
  <c r="I92" i="1" s="1"/>
  <c r="H91" i="1"/>
  <c r="I91" i="1" s="1"/>
  <c r="H90" i="1"/>
  <c r="I90" i="1" s="1"/>
  <c r="E88" i="1"/>
  <c r="F88" i="1"/>
  <c r="E83" i="1"/>
  <c r="E82" i="1" s="1"/>
  <c r="F83" i="1"/>
  <c r="H81" i="1"/>
  <c r="I81" i="1" s="1"/>
  <c r="H80" i="1"/>
  <c r="G79" i="1"/>
  <c r="G78" i="1" s="1"/>
  <c r="G77" i="1" s="1"/>
  <c r="F79" i="1"/>
  <c r="F78" i="1" s="1"/>
  <c r="F77" i="1" s="1"/>
  <c r="E79" i="1"/>
  <c r="E78" i="1" s="1"/>
  <c r="E77" i="1" s="1"/>
  <c r="H76" i="1"/>
  <c r="I76" i="1" s="1"/>
  <c r="H75" i="1"/>
  <c r="I75" i="1" s="1"/>
  <c r="H74" i="1"/>
  <c r="I74" i="1" s="1"/>
  <c r="G73" i="1"/>
  <c r="G72" i="1" s="1"/>
  <c r="F73" i="1"/>
  <c r="F72" i="1" s="1"/>
  <c r="E73" i="1"/>
  <c r="E72" i="1" s="1"/>
  <c r="E71" i="1" s="1"/>
  <c r="H68" i="1"/>
  <c r="G68" i="1"/>
  <c r="F68" i="1"/>
  <c r="H66" i="1"/>
  <c r="I66" i="1" s="1"/>
  <c r="H65" i="1"/>
  <c r="I65" i="1" s="1"/>
  <c r="H64" i="1"/>
  <c r="I64" i="1" s="1"/>
  <c r="L1007" i="1"/>
  <c r="L1006" i="1" s="1"/>
  <c r="G63" i="1"/>
  <c r="F63" i="1"/>
  <c r="E63" i="1"/>
  <c r="H62" i="1"/>
  <c r="I62" i="1" s="1"/>
  <c r="H61" i="1"/>
  <c r="I61" i="1" s="1"/>
  <c r="L1004" i="1"/>
  <c r="L1003" i="1" s="1"/>
  <c r="G60" i="1"/>
  <c r="K1004" i="1" s="1"/>
  <c r="K1003" i="1" s="1"/>
  <c r="F60" i="1"/>
  <c r="E60" i="1"/>
  <c r="H57" i="1"/>
  <c r="I57" i="1" s="1"/>
  <c r="H56" i="1"/>
  <c r="I56" i="1" s="1"/>
  <c r="L1001" i="1"/>
  <c r="L1000" i="1" s="1"/>
  <c r="E54" i="1"/>
  <c r="G51" i="1"/>
  <c r="F51" i="1"/>
  <c r="E51" i="1"/>
  <c r="H46" i="1"/>
  <c r="I46" i="1" s="1"/>
  <c r="H45" i="1"/>
  <c r="I45" i="1" s="1"/>
  <c r="H44" i="1"/>
  <c r="I44" i="1" s="1"/>
  <c r="L994" i="1"/>
  <c r="G43" i="1"/>
  <c r="K994" i="1" s="1"/>
  <c r="F43" i="1"/>
  <c r="E43" i="1"/>
  <c r="H41" i="1"/>
  <c r="I41" i="1" s="1"/>
  <c r="H40" i="1"/>
  <c r="I40" i="1" s="1"/>
  <c r="H39" i="1"/>
  <c r="I39" i="1" s="1"/>
  <c r="L993" i="1"/>
  <c r="G38" i="1"/>
  <c r="K993" i="1" s="1"/>
  <c r="F38" i="1"/>
  <c r="E38" i="1"/>
  <c r="H32" i="1"/>
  <c r="I32" i="1" s="1"/>
  <c r="H31" i="1"/>
  <c r="I31" i="1" s="1"/>
  <c r="H30" i="1"/>
  <c r="I30" i="1" s="1"/>
  <c r="L988" i="1"/>
  <c r="E29" i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G18" i="1"/>
  <c r="F18" i="1"/>
  <c r="E18" i="1"/>
  <c r="H16" i="1"/>
  <c r="L986" i="1"/>
  <c r="G15" i="1"/>
  <c r="K986" i="1" s="1"/>
  <c r="F15" i="1"/>
  <c r="E15" i="1"/>
  <c r="H14" i="1"/>
  <c r="I14" i="1" s="1"/>
  <c r="H13" i="1"/>
  <c r="I13" i="1" s="1"/>
  <c r="H12" i="1"/>
  <c r="I12" i="1" s="1"/>
  <c r="H11" i="1"/>
  <c r="I11" i="1" s="1"/>
  <c r="L985" i="1"/>
  <c r="G10" i="1"/>
  <c r="K985" i="1" s="1"/>
  <c r="F10" i="1"/>
  <c r="E10" i="1"/>
  <c r="I120" i="1" l="1"/>
  <c r="I118" i="1"/>
  <c r="I190" i="1"/>
  <c r="I621" i="1"/>
  <c r="H392" i="1"/>
  <c r="I392" i="1" s="1"/>
  <c r="I393" i="1"/>
  <c r="H302" i="1"/>
  <c r="I303" i="1"/>
  <c r="I369" i="1"/>
  <c r="N1129" i="1" s="1"/>
  <c r="N1128" i="1" s="1"/>
  <c r="H279" i="1"/>
  <c r="I279" i="1" s="1"/>
  <c r="N1086" i="1" s="1"/>
  <c r="N1085" i="1" s="1"/>
  <c r="I280" i="1"/>
  <c r="H318" i="1"/>
  <c r="I318" i="1" s="1"/>
  <c r="N1061" i="1" s="1"/>
  <c r="I319" i="1"/>
  <c r="H332" i="1"/>
  <c r="I332" i="1" s="1"/>
  <c r="N1112" i="1" s="1"/>
  <c r="N1111" i="1" s="1"/>
  <c r="I333" i="1"/>
  <c r="H339" i="1"/>
  <c r="I339" i="1" s="1"/>
  <c r="N1116" i="1" s="1"/>
  <c r="N1115" i="1" s="1"/>
  <c r="I340" i="1"/>
  <c r="H355" i="1"/>
  <c r="I355" i="1" s="1"/>
  <c r="I356" i="1"/>
  <c r="H140" i="1"/>
  <c r="I140" i="1" s="1"/>
  <c r="I141" i="1"/>
  <c r="H216" i="1"/>
  <c r="I216" i="1" s="1"/>
  <c r="I217" i="1"/>
  <c r="H271" i="1"/>
  <c r="I272" i="1"/>
  <c r="H363" i="1"/>
  <c r="I363" i="1" s="1"/>
  <c r="I364" i="1"/>
  <c r="H104" i="1"/>
  <c r="I104" i="1" s="1"/>
  <c r="I105" i="1"/>
  <c r="I435" i="1"/>
  <c r="I68" i="1"/>
  <c r="H79" i="1"/>
  <c r="I80" i="1"/>
  <c r="H507" i="1"/>
  <c r="I508" i="1"/>
  <c r="H15" i="1"/>
  <c r="I16" i="1"/>
  <c r="H254" i="1"/>
  <c r="I254" i="1" s="1"/>
  <c r="I255" i="1"/>
  <c r="H291" i="1"/>
  <c r="M1060" i="1" s="1"/>
  <c r="I292" i="1"/>
  <c r="H335" i="1"/>
  <c r="I335" i="1" s="1"/>
  <c r="I336" i="1"/>
  <c r="H390" i="1"/>
  <c r="I390" i="1" s="1"/>
  <c r="N1063" i="1" s="1"/>
  <c r="I391" i="1"/>
  <c r="H204" i="1"/>
  <c r="I205" i="1"/>
  <c r="H299" i="1"/>
  <c r="I299" i="1" s="1"/>
  <c r="N1092" i="1" s="1"/>
  <c r="N1091" i="1" s="1"/>
  <c r="I300" i="1"/>
  <c r="H365" i="1"/>
  <c r="I365" i="1" s="1"/>
  <c r="I366" i="1"/>
  <c r="H499" i="1"/>
  <c r="I500" i="1"/>
  <c r="K884" i="1"/>
  <c r="I129" i="1"/>
  <c r="L884" i="1" s="1"/>
  <c r="H359" i="1"/>
  <c r="I359" i="1" s="1"/>
  <c r="N1123" i="1" s="1"/>
  <c r="N1122" i="1" s="1"/>
  <c r="I360" i="1"/>
  <c r="H374" i="1"/>
  <c r="I375" i="1"/>
  <c r="M1065" i="1"/>
  <c r="I618" i="1"/>
  <c r="N1065" i="1" s="1"/>
  <c r="H198" i="1"/>
  <c r="I198" i="1" s="1"/>
  <c r="I199" i="1"/>
  <c r="H208" i="1"/>
  <c r="I209" i="1"/>
  <c r="H136" i="1"/>
  <c r="I136" i="1" s="1"/>
  <c r="I137" i="1"/>
  <c r="H598" i="1"/>
  <c r="I599" i="1"/>
  <c r="I152" i="1"/>
  <c r="N1040" i="1" s="1"/>
  <c r="N1039" i="1" s="1"/>
  <c r="I722" i="1"/>
  <c r="I662" i="1"/>
  <c r="L1056" i="1"/>
  <c r="L1055" i="1" s="1"/>
  <c r="G179" i="1"/>
  <c r="I179" i="1" s="1"/>
  <c r="K1056" i="1"/>
  <c r="K1055" i="1" s="1"/>
  <c r="L1053" i="1"/>
  <c r="L1052" i="1" s="1"/>
  <c r="H175" i="1"/>
  <c r="I175" i="1" s="1"/>
  <c r="M1053" i="1"/>
  <c r="F179" i="1"/>
  <c r="I468" i="1"/>
  <c r="F368" i="1"/>
  <c r="G368" i="1"/>
  <c r="K1129" i="1"/>
  <c r="K1128" i="1" s="1"/>
  <c r="L1129" i="1"/>
  <c r="L1128" i="1" s="1"/>
  <c r="H368" i="1"/>
  <c r="H316" i="1" s="1"/>
  <c r="M1129" i="1"/>
  <c r="M1128" i="1" s="1"/>
  <c r="E290" i="1"/>
  <c r="E283" i="1"/>
  <c r="F283" i="1"/>
  <c r="K1060" i="1"/>
  <c r="G283" i="1"/>
  <c r="K1050" i="1"/>
  <c r="H511" i="1"/>
  <c r="I511" i="1" s="1"/>
  <c r="L1040" i="1"/>
  <c r="L1039" i="1" s="1"/>
  <c r="M1040" i="1"/>
  <c r="M1039" i="1" s="1"/>
  <c r="H151" i="1"/>
  <c r="F151" i="1"/>
  <c r="K1040" i="1"/>
  <c r="K1039" i="1" s="1"/>
  <c r="G151" i="1"/>
  <c r="H481" i="1"/>
  <c r="E389" i="1"/>
  <c r="H503" i="1"/>
  <c r="E396" i="1"/>
  <c r="E395" i="1" s="1"/>
  <c r="G317" i="1"/>
  <c r="F362" i="1"/>
  <c r="H162" i="1"/>
  <c r="E624" i="1"/>
  <c r="H158" i="1"/>
  <c r="E157" i="1"/>
  <c r="E346" i="1"/>
  <c r="E37" i="1"/>
  <c r="E36" i="1" s="1"/>
  <c r="E34" i="1" s="1"/>
  <c r="F290" i="1"/>
  <c r="F126" i="1"/>
  <c r="H38" i="1"/>
  <c r="H83" i="1"/>
  <c r="K987" i="1"/>
  <c r="H112" i="1"/>
  <c r="H29" i="1"/>
  <c r="K1081" i="1"/>
  <c r="K1120" i="1"/>
  <c r="K1118" i="1" s="1"/>
  <c r="N1186" i="1"/>
  <c r="L1045" i="1"/>
  <c r="E338" i="1"/>
  <c r="H532" i="1"/>
  <c r="M1165" i="1" s="1"/>
  <c r="M1164" i="1" s="1"/>
  <c r="K1007" i="1"/>
  <c r="K1006" i="1" s="1"/>
  <c r="H487" i="1"/>
  <c r="E373" i="1"/>
  <c r="E372" i="1" s="1"/>
  <c r="N1158" i="1"/>
  <c r="H495" i="1"/>
  <c r="E219" i="1"/>
  <c r="G531" i="1"/>
  <c r="H447" i="1"/>
  <c r="I447" i="1" s="1"/>
  <c r="G510" i="1"/>
  <c r="G139" i="1"/>
  <c r="H18" i="1"/>
  <c r="I18" i="1" s="1"/>
  <c r="H213" i="1"/>
  <c r="E331" i="1"/>
  <c r="F976" i="1"/>
  <c r="L1020" i="1"/>
  <c r="L1019" i="1" s="1"/>
  <c r="L1180" i="1"/>
  <c r="L1179" i="1" s="1"/>
  <c r="H342" i="1"/>
  <c r="G212" i="1"/>
  <c r="K1160" i="1"/>
  <c r="F522" i="1"/>
  <c r="F627" i="1"/>
  <c r="G502" i="1"/>
  <c r="H131" i="1"/>
  <c r="I131" i="1" s="1"/>
  <c r="L1027" i="1"/>
  <c r="E212" i="1"/>
  <c r="H73" i="1"/>
  <c r="K992" i="1"/>
  <c r="L987" i="1"/>
  <c r="L984" i="1" s="1"/>
  <c r="F499" i="1"/>
  <c r="E107" i="1"/>
  <c r="H491" i="1"/>
  <c r="G373" i="1"/>
  <c r="G372" i="1" s="1"/>
  <c r="G358" i="1"/>
  <c r="F338" i="1"/>
  <c r="E87" i="1"/>
  <c r="H142" i="1"/>
  <c r="F321" i="1"/>
  <c r="K1045" i="1"/>
  <c r="E253" i="1"/>
  <c r="N1165" i="1"/>
  <c r="N1164" i="1" s="1"/>
  <c r="H10" i="1"/>
  <c r="F82" i="1"/>
  <c r="F223" i="1"/>
  <c r="H274" i="1"/>
  <c r="F298" i="1"/>
  <c r="G362" i="1"/>
  <c r="F373" i="1"/>
  <c r="F372" i="1" s="1"/>
  <c r="G37" i="1"/>
  <c r="G36" i="1" s="1"/>
  <c r="G34" i="1" s="1"/>
  <c r="H167" i="1"/>
  <c r="G522" i="1"/>
  <c r="G627" i="1"/>
  <c r="K1186" i="1" s="1"/>
  <c r="L1146" i="1"/>
  <c r="G126" i="1"/>
  <c r="K1033" i="1" s="1"/>
  <c r="G290" i="1"/>
  <c r="H602" i="1"/>
  <c r="H976" i="1"/>
  <c r="M1169" i="1" s="1"/>
  <c r="M1167" i="1" s="1"/>
  <c r="F278" i="1"/>
  <c r="H43" i="1"/>
  <c r="F171" i="1"/>
  <c r="H250" i="1"/>
  <c r="I250" i="1" s="1"/>
  <c r="H526" i="1"/>
  <c r="M1162" i="1" s="1"/>
  <c r="H108" i="1"/>
  <c r="H438" i="1"/>
  <c r="M1158" i="1"/>
  <c r="E298" i="1"/>
  <c r="H322" i="1"/>
  <c r="E362" i="1"/>
  <c r="E491" i="1"/>
  <c r="I976" i="1"/>
  <c r="N1169" i="1" s="1"/>
  <c r="N1167" i="1" s="1"/>
  <c r="H60" i="1"/>
  <c r="H63" i="1"/>
  <c r="I583" i="1"/>
  <c r="F389" i="1"/>
  <c r="E270" i="1"/>
  <c r="E9" i="1"/>
  <c r="L1010" i="1"/>
  <c r="L1009" i="1" s="1"/>
  <c r="F71" i="1"/>
  <c r="K1010" i="1"/>
  <c r="K1009" i="1" s="1"/>
  <c r="G71" i="1"/>
  <c r="E139" i="1"/>
  <c r="L1017" i="1"/>
  <c r="L1015" i="1" s="1"/>
  <c r="E126" i="1"/>
  <c r="E117" i="1" s="1"/>
  <c r="H135" i="1"/>
  <c r="I135" i="1" s="1"/>
  <c r="H52" i="1"/>
  <c r="L175" i="1"/>
  <c r="H184" i="1"/>
  <c r="I184" i="1" s="1"/>
  <c r="H194" i="1"/>
  <c r="L1073" i="1"/>
  <c r="I537" i="1"/>
  <c r="N1172" i="1" s="1"/>
  <c r="I972" i="1"/>
  <c r="I971" i="1" s="1"/>
  <c r="N1043" i="1" s="1"/>
  <c r="N1042" i="1" s="1"/>
  <c r="F971" i="1"/>
  <c r="H348" i="1"/>
  <c r="H55" i="1"/>
  <c r="F188" i="1"/>
  <c r="F187" i="1" s="1"/>
  <c r="M1099" i="1"/>
  <c r="M1098" i="1" s="1"/>
  <c r="H305" i="1"/>
  <c r="H289" i="1" s="1"/>
  <c r="G188" i="1"/>
  <c r="G187" i="1" s="1"/>
  <c r="M1112" i="1"/>
  <c r="M1111" i="1" s="1"/>
  <c r="H331" i="1"/>
  <c r="F346" i="1"/>
  <c r="M1161" i="1"/>
  <c r="F142" i="1"/>
  <c r="H96" i="1"/>
  <c r="K1027" i="1"/>
  <c r="F157" i="1"/>
  <c r="G167" i="1"/>
  <c r="G171" i="1"/>
  <c r="I171" i="1" s="1"/>
  <c r="H221" i="1"/>
  <c r="G270" i="1"/>
  <c r="E321" i="1"/>
  <c r="L992" i="1"/>
  <c r="G157" i="1"/>
  <c r="F317" i="1"/>
  <c r="L1120" i="1"/>
  <c r="N1177" i="1"/>
  <c r="N1176" i="1" s="1"/>
  <c r="F54" i="1"/>
  <c r="G29" i="1"/>
  <c r="G54" i="1"/>
  <c r="K1001" i="1" s="1"/>
  <c r="K1000" i="1" s="1"/>
  <c r="G83" i="1"/>
  <c r="F95" i="1"/>
  <c r="F166" i="1"/>
  <c r="H326" i="1"/>
  <c r="G325" i="1"/>
  <c r="G321" i="1" s="1"/>
  <c r="F29" i="1"/>
  <c r="G95" i="1"/>
  <c r="K1021" i="1" s="1"/>
  <c r="F183" i="1"/>
  <c r="F220" i="1"/>
  <c r="L1061" i="1"/>
  <c r="K1116" i="1"/>
  <c r="K1115" i="1" s="1"/>
  <c r="G338" i="1"/>
  <c r="H377" i="1"/>
  <c r="I377" i="1" s="1"/>
  <c r="N1133" i="1" s="1"/>
  <c r="H968" i="1"/>
  <c r="H967" i="1" s="1"/>
  <c r="F213" i="1"/>
  <c r="K1086" i="1"/>
  <c r="K1085" i="1" s="1"/>
  <c r="G278" i="1"/>
  <c r="F531" i="1"/>
  <c r="H183" i="1"/>
  <c r="I183" i="1" s="1"/>
  <c r="F37" i="1"/>
  <c r="F36" i="1" s="1"/>
  <c r="F34" i="1" s="1"/>
  <c r="G88" i="1"/>
  <c r="F107" i="1"/>
  <c r="G223" i="1"/>
  <c r="G219" i="1" s="1"/>
  <c r="K1092" i="1"/>
  <c r="K1091" i="1" s="1"/>
  <c r="G298" i="1"/>
  <c r="F305" i="1"/>
  <c r="F358" i="1"/>
  <c r="L1123" i="1"/>
  <c r="L1122" i="1" s="1"/>
  <c r="G107" i="1"/>
  <c r="L1060" i="1"/>
  <c r="H431" i="1"/>
  <c r="G499" i="1"/>
  <c r="G976" i="1"/>
  <c r="F625" i="1"/>
  <c r="K1126" i="1"/>
  <c r="K1125" i="1" s="1"/>
  <c r="G625" i="1"/>
  <c r="L1126" i="1"/>
  <c r="L1125" i="1" s="1"/>
  <c r="F629" i="1"/>
  <c r="H257" i="1"/>
  <c r="G453" i="1"/>
  <c r="G629" i="1"/>
  <c r="G294" i="1"/>
  <c r="K1131" i="1"/>
  <c r="F438" i="1"/>
  <c r="F477" i="1"/>
  <c r="L1160" i="1"/>
  <c r="L1131" i="1"/>
  <c r="G438" i="1"/>
  <c r="G477" i="1"/>
  <c r="K1137" i="1" s="1"/>
  <c r="F502" i="1"/>
  <c r="K1157" i="1"/>
  <c r="K1156" i="1" s="1"/>
  <c r="L1186" i="1"/>
  <c r="G971" i="1"/>
  <c r="K1043" i="1" s="1"/>
  <c r="K1042" i="1" s="1"/>
  <c r="L1081" i="1"/>
  <c r="L1091" i="1"/>
  <c r="F331" i="1"/>
  <c r="G346" i="1"/>
  <c r="F491" i="1"/>
  <c r="F270" i="1"/>
  <c r="G331" i="1"/>
  <c r="G389" i="1"/>
  <c r="G431" i="1"/>
  <c r="G491" i="1"/>
  <c r="F510" i="1"/>
  <c r="G602" i="1"/>
  <c r="G601" i="1" s="1"/>
  <c r="N1096" i="1"/>
  <c r="N1095" i="1" s="1"/>
  <c r="M1096" i="1"/>
  <c r="M1095" i="1" s="1"/>
  <c r="L1102" i="1"/>
  <c r="L1101" i="1" s="1"/>
  <c r="M1102" i="1"/>
  <c r="M1101" i="1" s="1"/>
  <c r="H634" i="1"/>
  <c r="H631" i="1" s="1"/>
  <c r="H627" i="1" s="1"/>
  <c r="M1186" i="1" s="1"/>
  <c r="F253" i="1"/>
  <c r="L1140" i="1"/>
  <c r="L1139" i="1" s="1"/>
  <c r="K1140" i="1"/>
  <c r="K1139" i="1" s="1"/>
  <c r="G617" i="1"/>
  <c r="M1140" i="1"/>
  <c r="M1139" i="1" s="1"/>
  <c r="F617" i="1"/>
  <c r="N1140" i="1"/>
  <c r="N1139" i="1" s="1"/>
  <c r="I397" i="1"/>
  <c r="H461" i="1"/>
  <c r="I461" i="1" s="1"/>
  <c r="K1013" i="1"/>
  <c r="K1012" i="1" s="1"/>
  <c r="L1013" i="1"/>
  <c r="L1012" i="1" s="1"/>
  <c r="L1032" i="1"/>
  <c r="K175" i="1"/>
  <c r="N1053" i="1"/>
  <c r="N1052" i="1" s="1"/>
  <c r="K1052" i="1"/>
  <c r="L1189" i="1"/>
  <c r="L1188" i="1" s="1"/>
  <c r="L1068" i="1"/>
  <c r="L1067" i="1" s="1"/>
  <c r="H224" i="1"/>
  <c r="I224" i="1" s="1"/>
  <c r="H226" i="1"/>
  <c r="I226" i="1" s="1"/>
  <c r="H228" i="1"/>
  <c r="I228" i="1" s="1"/>
  <c r="H229" i="1"/>
  <c r="I229" i="1" s="1"/>
  <c r="H231" i="1"/>
  <c r="I231" i="1" s="1"/>
  <c r="K1072" i="1"/>
  <c r="L1072" i="1"/>
  <c r="L1109" i="1"/>
  <c r="L1107" i="1" s="1"/>
  <c r="K1144" i="1"/>
  <c r="K1143" i="1" s="1"/>
  <c r="K1183" i="1"/>
  <c r="K1182" i="1" s="1"/>
  <c r="L1183" i="1"/>
  <c r="L998" i="1"/>
  <c r="L996" i="1" s="1"/>
  <c r="H396" i="1" l="1"/>
  <c r="I257" i="1"/>
  <c r="H253" i="1"/>
  <c r="H211" i="1" s="1"/>
  <c r="G316" i="1"/>
  <c r="H389" i="1"/>
  <c r="M1063" i="1"/>
  <c r="H358" i="1"/>
  <c r="I188" i="1"/>
  <c r="N1189" i="1" s="1"/>
  <c r="N1188" i="1" s="1"/>
  <c r="I617" i="1"/>
  <c r="H278" i="1"/>
  <c r="I278" i="1" s="1"/>
  <c r="M1123" i="1"/>
  <c r="M1122" i="1" s="1"/>
  <c r="M1086" i="1"/>
  <c r="M1085" i="1" s="1"/>
  <c r="H298" i="1"/>
  <c r="H317" i="1"/>
  <c r="I317" i="1" s="1"/>
  <c r="M1092" i="1"/>
  <c r="M1061" i="1"/>
  <c r="I151" i="1"/>
  <c r="I298" i="1"/>
  <c r="I438" i="1"/>
  <c r="I431" i="1"/>
  <c r="I331" i="1"/>
  <c r="H54" i="1"/>
  <c r="I55" i="1"/>
  <c r="M1028" i="1"/>
  <c r="I108" i="1"/>
  <c r="N1028" i="1" s="1"/>
  <c r="H601" i="1"/>
  <c r="I601" i="1" s="1"/>
  <c r="I602" i="1"/>
  <c r="M1148" i="1"/>
  <c r="I491" i="1"/>
  <c r="N1148" i="1" s="1"/>
  <c r="H362" i="1"/>
  <c r="I362" i="1" s="1"/>
  <c r="M1037" i="1"/>
  <c r="M1035" i="1" s="1"/>
  <c r="I142" i="1"/>
  <c r="N1037" i="1" s="1"/>
  <c r="N1035" i="1" s="1"/>
  <c r="H338" i="1"/>
  <c r="I338" i="1" s="1"/>
  <c r="I342" i="1"/>
  <c r="M1147" i="1"/>
  <c r="I487" i="1"/>
  <c r="N1147" i="1" s="1"/>
  <c r="M988" i="1"/>
  <c r="I29" i="1"/>
  <c r="N988" i="1" s="1"/>
  <c r="M1083" i="1"/>
  <c r="I274" i="1"/>
  <c r="N1083" i="1" s="1"/>
  <c r="M1029" i="1"/>
  <c r="M1027" i="1" s="1"/>
  <c r="I112" i="1"/>
  <c r="N1029" i="1" s="1"/>
  <c r="H502" i="1"/>
  <c r="I502" i="1" s="1"/>
  <c r="I503" i="1"/>
  <c r="N1154" i="1" s="1"/>
  <c r="N1153" i="1" s="1"/>
  <c r="M986" i="1"/>
  <c r="I15" i="1"/>
  <c r="N986" i="1" s="1"/>
  <c r="M1082" i="1"/>
  <c r="I271" i="1"/>
  <c r="N1082" i="1" s="1"/>
  <c r="N1081" i="1" s="1"/>
  <c r="M1116" i="1"/>
  <c r="M1115" i="1" s="1"/>
  <c r="M1120" i="1"/>
  <c r="I350" i="1"/>
  <c r="N1120" i="1" s="1"/>
  <c r="I389" i="1"/>
  <c r="H290" i="1"/>
  <c r="I290" i="1" s="1"/>
  <c r="M1132" i="1"/>
  <c r="I374" i="1"/>
  <c r="N1132" i="1" s="1"/>
  <c r="N1131" i="1" s="1"/>
  <c r="H203" i="1"/>
  <c r="I203" i="1" s="1"/>
  <c r="I204" i="1"/>
  <c r="H325" i="1"/>
  <c r="I325" i="1" s="1"/>
  <c r="N1109" i="1" s="1"/>
  <c r="I326" i="1"/>
  <c r="M1017" i="1"/>
  <c r="M1015" i="1" s="1"/>
  <c r="I83" i="1"/>
  <c r="N1017" i="1" s="1"/>
  <c r="N1015" i="1" s="1"/>
  <c r="H506" i="1"/>
  <c r="I506" i="1" s="1"/>
  <c r="I507" i="1"/>
  <c r="H95" i="1"/>
  <c r="I96" i="1"/>
  <c r="H480" i="1"/>
  <c r="I480" i="1" s="1"/>
  <c r="I481" i="1"/>
  <c r="H597" i="1"/>
  <c r="I597" i="1" s="1"/>
  <c r="I598" i="1"/>
  <c r="I194" i="1"/>
  <c r="M1108" i="1"/>
  <c r="I322" i="1"/>
  <c r="N1108" i="1" s="1"/>
  <c r="M985" i="1"/>
  <c r="I10" i="1"/>
  <c r="N985" i="1" s="1"/>
  <c r="M993" i="1"/>
  <c r="M992" i="1" s="1"/>
  <c r="I38" i="1"/>
  <c r="N993" i="1" s="1"/>
  <c r="N992" i="1" s="1"/>
  <c r="I368" i="1"/>
  <c r="H78" i="1"/>
  <c r="I79" i="1"/>
  <c r="H220" i="1"/>
  <c r="I221" i="1"/>
  <c r="I88" i="1"/>
  <c r="N1020" i="1" s="1"/>
  <c r="M994" i="1"/>
  <c r="I43" i="1"/>
  <c r="N994" i="1" s="1"/>
  <c r="H72" i="1"/>
  <c r="H71" i="1" s="1"/>
  <c r="I71" i="1" s="1"/>
  <c r="I73" i="1"/>
  <c r="M1059" i="1"/>
  <c r="M1058" i="1" s="1"/>
  <c r="I213" i="1"/>
  <c r="N1059" i="1" s="1"/>
  <c r="N1058" i="1" s="1"/>
  <c r="M1046" i="1"/>
  <c r="I158" i="1"/>
  <c r="N1046" i="1" s="1"/>
  <c r="N1045" i="1" s="1"/>
  <c r="M1093" i="1"/>
  <c r="M1091" i="1" s="1"/>
  <c r="I302" i="1"/>
  <c r="N1093" i="1" s="1"/>
  <c r="I453" i="1"/>
  <c r="H347" i="1"/>
  <c r="I347" i="1" s="1"/>
  <c r="N1119" i="1" s="1"/>
  <c r="I348" i="1"/>
  <c r="M1007" i="1"/>
  <c r="M1006" i="1" s="1"/>
  <c r="I63" i="1"/>
  <c r="N1007" i="1" s="1"/>
  <c r="N1006" i="1" s="1"/>
  <c r="H494" i="1"/>
  <c r="I495" i="1"/>
  <c r="I283" i="1"/>
  <c r="I291" i="1"/>
  <c r="N1060" i="1" s="1"/>
  <c r="I358" i="1"/>
  <c r="H51" i="1"/>
  <c r="I51" i="1" s="1"/>
  <c r="N998" i="1" s="1"/>
  <c r="N996" i="1" s="1"/>
  <c r="I52" i="1"/>
  <c r="M1004" i="1"/>
  <c r="M1003" i="1" s="1"/>
  <c r="I60" i="1"/>
  <c r="N1004" i="1" s="1"/>
  <c r="N1003" i="1" s="1"/>
  <c r="H166" i="1"/>
  <c r="I167" i="1"/>
  <c r="H103" i="1"/>
  <c r="I103" i="1" s="1"/>
  <c r="M1047" i="1"/>
  <c r="I162" i="1"/>
  <c r="N1047" i="1" s="1"/>
  <c r="H207" i="1"/>
  <c r="I207" i="1" s="1"/>
  <c r="I208" i="1"/>
  <c r="M1151" i="1"/>
  <c r="M1150" i="1" s="1"/>
  <c r="I499" i="1"/>
  <c r="N1151" i="1" s="1"/>
  <c r="N1150" i="1" s="1"/>
  <c r="M1050" i="1"/>
  <c r="M1049" i="1" s="1"/>
  <c r="N1050" i="1"/>
  <c r="N1049" i="1" s="1"/>
  <c r="E289" i="1"/>
  <c r="H609" i="1"/>
  <c r="F289" i="1"/>
  <c r="E211" i="1"/>
  <c r="N1073" i="1"/>
  <c r="E388" i="1"/>
  <c r="G396" i="1"/>
  <c r="G395" i="1" s="1"/>
  <c r="H542" i="1"/>
  <c r="H536" i="1" s="1"/>
  <c r="M1172" i="1"/>
  <c r="M1154" i="1"/>
  <c r="M1153" i="1" s="1"/>
  <c r="F396" i="1"/>
  <c r="F395" i="1" s="1"/>
  <c r="F536" i="1"/>
  <c r="H157" i="1"/>
  <c r="I157" i="1" s="1"/>
  <c r="L1058" i="1"/>
  <c r="K1189" i="1"/>
  <c r="K1188" i="1" s="1"/>
  <c r="M1020" i="1"/>
  <c r="H37" i="1"/>
  <c r="L1174" i="1"/>
  <c r="L1157" i="1"/>
  <c r="L1156" i="1" s="1"/>
  <c r="I968" i="1"/>
  <c r="I967" i="1" s="1"/>
  <c r="M1174" i="1"/>
  <c r="F117" i="1"/>
  <c r="F624" i="1"/>
  <c r="H82" i="1"/>
  <c r="F975" i="1"/>
  <c r="F974" i="1" s="1"/>
  <c r="H9" i="1"/>
  <c r="K1069" i="1"/>
  <c r="F494" i="1"/>
  <c r="H531" i="1"/>
  <c r="H212" i="1"/>
  <c r="I212" i="1" s="1"/>
  <c r="N987" i="1"/>
  <c r="H486" i="1"/>
  <c r="M987" i="1"/>
  <c r="H510" i="1"/>
  <c r="I510" i="1" s="1"/>
  <c r="N1146" i="1"/>
  <c r="I975" i="1"/>
  <c r="I974" i="1" s="1"/>
  <c r="H139" i="1"/>
  <c r="I139" i="1" s="1"/>
  <c r="N1102" i="1"/>
  <c r="N1101" i="1" s="1"/>
  <c r="N1027" i="1"/>
  <c r="M1144" i="1"/>
  <c r="M1143" i="1" s="1"/>
  <c r="H522" i="1"/>
  <c r="M1160" i="1"/>
  <c r="M1157" i="1"/>
  <c r="M1156" i="1" s="1"/>
  <c r="F968" i="1"/>
  <c r="F967" i="1" s="1"/>
  <c r="H126" i="1"/>
  <c r="H975" i="1"/>
  <c r="H974" i="1" s="1"/>
  <c r="H981" i="1" s="1"/>
  <c r="E8" i="1"/>
  <c r="G117" i="1"/>
  <c r="F219" i="1"/>
  <c r="E316" i="1"/>
  <c r="H107" i="1"/>
  <c r="I107" i="1" s="1"/>
  <c r="M1072" i="1"/>
  <c r="L1071" i="1"/>
  <c r="H270" i="1"/>
  <c r="I270" i="1" s="1"/>
  <c r="K1032" i="1"/>
  <c r="K1031" i="1" s="1"/>
  <c r="L1182" i="1"/>
  <c r="K1068" i="1"/>
  <c r="K1151" i="1"/>
  <c r="K1150" i="1" s="1"/>
  <c r="G494" i="1"/>
  <c r="K1102" i="1"/>
  <c r="K1101" i="1" s="1"/>
  <c r="N1126" i="1"/>
  <c r="N1125" i="1" s="1"/>
  <c r="L1173" i="1"/>
  <c r="K1180" i="1"/>
  <c r="K1179" i="1" s="1"/>
  <c r="K1173" i="1"/>
  <c r="N1174" i="1"/>
  <c r="K1064" i="1"/>
  <c r="K1058" i="1" s="1"/>
  <c r="G624" i="1"/>
  <c r="M1126" i="1"/>
  <c r="M1125" i="1" s="1"/>
  <c r="K1049" i="1"/>
  <c r="G166" i="1"/>
  <c r="L1144" i="1"/>
  <c r="L1143" i="1" s="1"/>
  <c r="N1162" i="1"/>
  <c r="N1160" i="1" s="1"/>
  <c r="F316" i="1"/>
  <c r="N1157" i="1"/>
  <c r="N1156" i="1" s="1"/>
  <c r="K1020" i="1"/>
  <c r="K1019" i="1" s="1"/>
  <c r="G87" i="1"/>
  <c r="F87" i="1"/>
  <c r="K1073" i="1"/>
  <c r="K1071" i="1" s="1"/>
  <c r="G253" i="1"/>
  <c r="G211" i="1" s="1"/>
  <c r="F212" i="1"/>
  <c r="K1017" i="1"/>
  <c r="K1015" i="1" s="1"/>
  <c r="G82" i="1"/>
  <c r="F486" i="1"/>
  <c r="L1119" i="1"/>
  <c r="L1118" i="1" s="1"/>
  <c r="K1172" i="1"/>
  <c r="G536" i="1"/>
  <c r="K1099" i="1"/>
  <c r="K1098" i="1" s="1"/>
  <c r="G305" i="1"/>
  <c r="G289" i="1" s="1"/>
  <c r="K1177" i="1"/>
  <c r="K1176" i="1" s="1"/>
  <c r="F9" i="1"/>
  <c r="M1119" i="1"/>
  <c r="I346" i="1"/>
  <c r="M1177" i="1"/>
  <c r="M1176" i="1" s="1"/>
  <c r="K988" i="1"/>
  <c r="K984" i="1" s="1"/>
  <c r="G9" i="1"/>
  <c r="L1033" i="1"/>
  <c r="L1031" i="1" s="1"/>
  <c r="K998" i="1"/>
  <c r="K996" i="1" s="1"/>
  <c r="F139" i="1"/>
  <c r="K1109" i="1"/>
  <c r="K1107" i="1" s="1"/>
  <c r="K1148" i="1"/>
  <c r="K1146" i="1" s="1"/>
  <c r="G486" i="1"/>
  <c r="N1099" i="1"/>
  <c r="N1098" i="1" s="1"/>
  <c r="M1055" i="1"/>
  <c r="G968" i="1"/>
  <c r="G967" i="1" s="1"/>
  <c r="K1174" i="1"/>
  <c r="K1169" i="1"/>
  <c r="K1167" i="1" s="1"/>
  <c r="G975" i="1"/>
  <c r="G974" i="1" s="1"/>
  <c r="M1133" i="1"/>
  <c r="H373" i="1"/>
  <c r="H223" i="1"/>
  <c r="I223" i="1" s="1"/>
  <c r="N1055" i="1"/>
  <c r="M1052" i="1"/>
  <c r="M998" i="1" l="1"/>
  <c r="M996" i="1" s="1"/>
  <c r="M1189" i="1"/>
  <c r="M1188" i="1" s="1"/>
  <c r="M1118" i="1"/>
  <c r="N1107" i="1"/>
  <c r="M984" i="1"/>
  <c r="M1146" i="1"/>
  <c r="N1118" i="1"/>
  <c r="M1081" i="1"/>
  <c r="M1109" i="1"/>
  <c r="M1107" i="1" s="1"/>
  <c r="I166" i="1"/>
  <c r="H187" i="1"/>
  <c r="I187" i="1" s="1"/>
  <c r="H321" i="1"/>
  <c r="I321" i="1" s="1"/>
  <c r="M1045" i="1"/>
  <c r="H77" i="1"/>
  <c r="I78" i="1"/>
  <c r="M1013" i="1"/>
  <c r="M1012" i="1" s="1"/>
  <c r="K78" i="1"/>
  <c r="M1021" i="1"/>
  <c r="M1019" i="1" s="1"/>
  <c r="I95" i="1"/>
  <c r="N1021" i="1" s="1"/>
  <c r="N1019" i="1" s="1"/>
  <c r="H395" i="1"/>
  <c r="I396" i="1"/>
  <c r="M1033" i="1"/>
  <c r="I126" i="1"/>
  <c r="N1033" i="1" s="1"/>
  <c r="M1173" i="1"/>
  <c r="M1171" i="1" s="1"/>
  <c r="I542" i="1"/>
  <c r="N1173" i="1" s="1"/>
  <c r="N1171" i="1" s="1"/>
  <c r="I494" i="1"/>
  <c r="M1180" i="1"/>
  <c r="I9" i="1"/>
  <c r="H608" i="1"/>
  <c r="I609" i="1"/>
  <c r="N1183" i="1" s="1"/>
  <c r="N1182" i="1" s="1"/>
  <c r="M1010" i="1"/>
  <c r="M1009" i="1" s="1"/>
  <c r="I72" i="1"/>
  <c r="N1010" i="1" s="1"/>
  <c r="N1009" i="1" s="1"/>
  <c r="H36" i="1"/>
  <c r="I37" i="1"/>
  <c r="M1131" i="1"/>
  <c r="I82" i="1"/>
  <c r="H372" i="1"/>
  <c r="I372" i="1" s="1"/>
  <c r="I373" i="1"/>
  <c r="I87" i="1"/>
  <c r="M1068" i="1"/>
  <c r="I220" i="1"/>
  <c r="N1068" i="1" s="1"/>
  <c r="M1001" i="1"/>
  <c r="M1000" i="1" s="1"/>
  <c r="I54" i="1"/>
  <c r="N1001" i="1" s="1"/>
  <c r="N1000" i="1" s="1"/>
  <c r="I486" i="1"/>
  <c r="I305" i="1"/>
  <c r="I289" i="1" s="1"/>
  <c r="M1183" i="1"/>
  <c r="M1182" i="1" s="1"/>
  <c r="F211" i="1"/>
  <c r="F8" i="1"/>
  <c r="N1144" i="1"/>
  <c r="N1143" i="1" s="1"/>
  <c r="L1171" i="1"/>
  <c r="E639" i="1"/>
  <c r="N984" i="1"/>
  <c r="F981" i="1"/>
  <c r="I981" i="1"/>
  <c r="K1067" i="1"/>
  <c r="N1072" i="1"/>
  <c r="N1071" i="1" s="1"/>
  <c r="L1136" i="1"/>
  <c r="L1135" i="1" s="1"/>
  <c r="K1171" i="1"/>
  <c r="G388" i="1"/>
  <c r="G8" i="1"/>
  <c r="K1136" i="1"/>
  <c r="K1135" i="1" s="1"/>
  <c r="N1180" i="1"/>
  <c r="N1179" i="1" s="1"/>
  <c r="G981" i="1"/>
  <c r="I536" i="1"/>
  <c r="H624" i="1"/>
  <c r="I316" i="1"/>
  <c r="M1073" i="1"/>
  <c r="M1071" i="1" s="1"/>
  <c r="I253" i="1"/>
  <c r="F388" i="1"/>
  <c r="N1032" i="1"/>
  <c r="M1032" i="1"/>
  <c r="N1069" i="1"/>
  <c r="M1069" i="1"/>
  <c r="M1067" i="1" s="1"/>
  <c r="H219" i="1"/>
  <c r="I219" i="1" s="1"/>
  <c r="M1136" i="1"/>
  <c r="M1135" i="1" s="1"/>
  <c r="M1179" i="1"/>
  <c r="I395" i="1" l="1"/>
  <c r="H388" i="1"/>
  <c r="H8" i="1"/>
  <c r="H639" i="1" s="1"/>
  <c r="N1067" i="1"/>
  <c r="I117" i="1"/>
  <c r="H34" i="1"/>
  <c r="I36" i="1"/>
  <c r="M1031" i="1"/>
  <c r="M1191" i="1" s="1"/>
  <c r="M1200" i="1" s="1"/>
  <c r="N1031" i="1"/>
  <c r="K608" i="1"/>
  <c r="I608" i="1"/>
  <c r="L608" i="1" s="1"/>
  <c r="N1013" i="1"/>
  <c r="N1012" i="1" s="1"/>
  <c r="L78" i="1"/>
  <c r="K77" i="1"/>
  <c r="I77" i="1"/>
  <c r="L77" i="1" s="1"/>
  <c r="K1191" i="1"/>
  <c r="K1200" i="1" s="1"/>
  <c r="L1191" i="1"/>
  <c r="L1200" i="1" s="1"/>
  <c r="I211" i="1"/>
  <c r="E642" i="1"/>
  <c r="E643" i="1" s="1"/>
  <c r="E641" i="1"/>
  <c r="N1136" i="1"/>
  <c r="N1135" i="1" s="1"/>
  <c r="G639" i="1"/>
  <c r="F639" i="1"/>
  <c r="F641" i="1" s="1"/>
  <c r="I34" i="1" l="1"/>
  <c r="I8" i="1"/>
  <c r="N1191" i="1"/>
  <c r="N1200" i="1" s="1"/>
  <c r="K388" i="1"/>
  <c r="I388" i="1"/>
  <c r="L388" i="1" s="1"/>
  <c r="G642" i="1"/>
  <c r="G643" i="1" s="1"/>
  <c r="G641" i="1"/>
  <c r="K1194" i="1" s="1"/>
  <c r="L1194" i="1"/>
  <c r="F642" i="1"/>
  <c r="F643" i="1" s="1"/>
  <c r="H641" i="1" l="1"/>
  <c r="I639" i="1"/>
  <c r="L8" i="1"/>
  <c r="K8" i="1"/>
  <c r="K1196" i="1"/>
  <c r="H642" i="1"/>
  <c r="H643" i="1" l="1"/>
  <c r="I643" i="1" s="1"/>
  <c r="L643" i="1" s="1"/>
  <c r="I642" i="1"/>
  <c r="M1194" i="1"/>
  <c r="M1196" i="1" s="1"/>
  <c r="I641" i="1"/>
  <c r="N1194" i="1" s="1"/>
  <c r="N1196" i="1" s="1"/>
  <c r="L1196" i="1"/>
  <c r="K643" i="1" l="1"/>
</calcChain>
</file>

<file path=xl/sharedStrings.xml><?xml version="1.0" encoding="utf-8"?>
<sst xmlns="http://schemas.openxmlformats.org/spreadsheetml/2006/main" count="578" uniqueCount="287">
  <si>
    <t xml:space="preserve">за рахунок коштів бюджету розвитку                                                                                                                                   </t>
  </si>
  <si>
    <t>Коломийської міської  територіальної громади</t>
  </si>
  <si>
    <t>грн.</t>
  </si>
  <si>
    <t xml:space="preserve">Код типової відомчої класифікації видатків місцевих бюджетів </t>
  </si>
  <si>
    <t>Найменування коду тимчасової класифікації видатків та кредитування місцевих бюджетів</t>
  </si>
  <si>
    <t>Код Функціональної класифікації видатків та кредитування бюджету</t>
  </si>
  <si>
    <t>Назва об'єкту відповідно до проектно-кошторисної документації</t>
  </si>
  <si>
    <t>Залишки асигнувань</t>
  </si>
  <si>
    <t>до кінця року</t>
  </si>
  <si>
    <t>0110000</t>
  </si>
  <si>
    <t>Міська рада</t>
  </si>
  <si>
    <t>0110150</t>
  </si>
  <si>
    <t>0150</t>
  </si>
  <si>
    <t>Разом 3110</t>
  </si>
  <si>
    <t>Разом 3122</t>
  </si>
  <si>
    <t>Разом 3132</t>
  </si>
  <si>
    <t>Разом 3142</t>
  </si>
  <si>
    <t>0110180</t>
  </si>
  <si>
    <t>0180</t>
  </si>
  <si>
    <t>Капітальні видатки на програму "Громадський бюджет міста Коломиї на 2017-2021 роки":</t>
  </si>
  <si>
    <t>0112010</t>
  </si>
  <si>
    <t>2010</t>
  </si>
  <si>
    <t>Разом 3210</t>
  </si>
  <si>
    <t>0112111</t>
  </si>
  <si>
    <t>2111</t>
  </si>
  <si>
    <t>0112142</t>
  </si>
  <si>
    <t>2142</t>
  </si>
  <si>
    <t>0112152</t>
  </si>
  <si>
    <t>2152</t>
  </si>
  <si>
    <t>0112051</t>
  </si>
  <si>
    <t>2051</t>
  </si>
  <si>
    <t>0116011</t>
  </si>
  <si>
    <t>6011</t>
  </si>
  <si>
    <t>Капітальні видатки на " Програму співфінансування проведення капітальних ремонтів в житлових будинках ОСББ м. Коломиї на 2018-2022 роки"</t>
  </si>
  <si>
    <t>0116082</t>
  </si>
  <si>
    <t>Разом 3121</t>
  </si>
  <si>
    <t>Програма "Забезпечення тимчасовим житлом внутрішньо-переміщених осіб на 2021 рік"</t>
  </si>
  <si>
    <t>0116083</t>
  </si>
  <si>
    <t>0117321</t>
  </si>
  <si>
    <t>0117322</t>
  </si>
  <si>
    <t>0117323</t>
  </si>
  <si>
    <t>7323</t>
  </si>
  <si>
    <t>0117325</t>
  </si>
  <si>
    <t>7325</t>
  </si>
  <si>
    <t>0117330</t>
  </si>
  <si>
    <t>0117340</t>
  </si>
  <si>
    <t>Разом 3143</t>
  </si>
  <si>
    <t>0117350</t>
  </si>
  <si>
    <t>Разом 2281</t>
  </si>
  <si>
    <t>На Програму "Розроблення та оновлення містобудівної документації Коломийської територіальної громади на 2022-2026 роки"</t>
  </si>
  <si>
    <t>0117370</t>
  </si>
  <si>
    <t>0117693</t>
  </si>
  <si>
    <t>0118311</t>
  </si>
  <si>
    <t>0118230</t>
  </si>
  <si>
    <t>0118240</t>
  </si>
  <si>
    <t>0118775</t>
  </si>
  <si>
    <t>0119800</t>
  </si>
  <si>
    <t>Разом 3220</t>
  </si>
  <si>
    <t>0610000</t>
  </si>
  <si>
    <t>Управління освіти</t>
  </si>
  <si>
    <t>0610160</t>
  </si>
  <si>
    <t>0160</t>
  </si>
  <si>
    <t>0611010</t>
  </si>
  <si>
    <t>1010</t>
  </si>
  <si>
    <t>0611021</t>
  </si>
  <si>
    <t>0611070</t>
  </si>
  <si>
    <t>0611160</t>
  </si>
  <si>
    <t>0810000</t>
  </si>
  <si>
    <t>Управління соціальної політики</t>
  </si>
  <si>
    <t>0810160</t>
  </si>
  <si>
    <t>0813124</t>
  </si>
  <si>
    <t>0813105</t>
  </si>
  <si>
    <t>,</t>
  </si>
  <si>
    <t>0813230</t>
  </si>
  <si>
    <t>1010000</t>
  </si>
  <si>
    <t>Управління культури та туризму</t>
  </si>
  <si>
    <t>1010160</t>
  </si>
  <si>
    <t>1014030</t>
  </si>
  <si>
    <t>4030</t>
  </si>
  <si>
    <t>1014040</t>
  </si>
  <si>
    <t>1014060</t>
  </si>
  <si>
    <t>1014081</t>
  </si>
  <si>
    <t>4081</t>
  </si>
  <si>
    <t>1014082</t>
  </si>
  <si>
    <t>4082</t>
  </si>
  <si>
    <t>1110000</t>
  </si>
  <si>
    <t>Управління спорту</t>
  </si>
  <si>
    <t>3110000</t>
  </si>
  <si>
    <t>Управління комунального господарства</t>
  </si>
  <si>
    <t>Капітальний ремонт вулиць</t>
  </si>
  <si>
    <t>Капітальний ремонт тротуарів</t>
  </si>
  <si>
    <t>Капітальний ремонт міжквартальних проїздів</t>
  </si>
  <si>
    <t>Капітальний ремонт майданчиків</t>
  </si>
  <si>
    <t>Капітальний ремонт мереж зовнішнього освітлення</t>
  </si>
  <si>
    <t xml:space="preserve">Капітальний ремонт автобусних зупинок </t>
  </si>
  <si>
    <t>Капітальний ремонт інших об'єктів</t>
  </si>
  <si>
    <t>3117310</t>
  </si>
  <si>
    <t>3117321</t>
  </si>
  <si>
    <t>3117322</t>
  </si>
  <si>
    <t>3117323</t>
  </si>
  <si>
    <t>3117324</t>
  </si>
  <si>
    <t>3117325</t>
  </si>
  <si>
    <t>3117330</t>
  </si>
  <si>
    <t>3117340</t>
  </si>
  <si>
    <t>3117370</t>
  </si>
  <si>
    <t>Управління земельних відносин та майнових ресурсів</t>
  </si>
  <si>
    <t>Управління фінансів і внутрішнього аудиту</t>
  </si>
  <si>
    <t>3710160</t>
  </si>
  <si>
    <t>Субвенція обласному бюджету на:</t>
  </si>
  <si>
    <t>Субвенція обласному бюджету на придбання обладнання:</t>
  </si>
  <si>
    <t xml:space="preserve">Спрямування  залишку коштів </t>
  </si>
  <si>
    <r>
      <rPr>
        <b/>
        <sz val="16"/>
        <color rgb="FF000000"/>
        <rFont val="Times New Roman"/>
        <family val="1"/>
        <charset val="204"/>
      </rPr>
      <t xml:space="preserve">Спрямування вільного залишку коштів із загального фонду до бюджету розвитку (спеціального фонду) станом на 01.01.2022 року - </t>
    </r>
    <r>
      <rPr>
        <b/>
        <sz val="16"/>
        <color rgb="FFFF0000"/>
        <rFont val="Times New Roman"/>
        <family val="1"/>
        <charset val="204"/>
      </rPr>
      <t>ПЕРЕДАЧА</t>
    </r>
  </si>
  <si>
    <t>ПЕРЕДАЧА</t>
  </si>
  <si>
    <t xml:space="preserve">Капітальний ремонт інших об'єктів </t>
  </si>
  <si>
    <r>
      <rPr>
        <b/>
        <sz val="18"/>
        <color rgb="FF0000FF"/>
        <rFont val="Times New Roman"/>
        <family val="1"/>
        <charset val="204"/>
      </rPr>
      <t xml:space="preserve">За рахунок повернутих коштів, наданих для виконання гарантійних зобов’язань за позичальників, що отримали кредити під місцеві гарантії - </t>
    </r>
    <r>
      <rPr>
        <b/>
        <sz val="18"/>
        <color rgb="FFFF0000"/>
        <rFont val="Times New Roman"/>
        <family val="1"/>
        <charset val="204"/>
      </rPr>
      <t>РАХУНОК</t>
    </r>
  </si>
  <si>
    <t>ВСЬОГО</t>
  </si>
  <si>
    <r>
      <rPr>
        <b/>
        <sz val="11"/>
        <rFont val="Times New Roman"/>
        <family val="1"/>
        <charset val="204"/>
      </rPr>
      <t>За рахунок субвенції з обласного бюджету -</t>
    </r>
    <r>
      <rPr>
        <b/>
        <sz val="14"/>
        <rFont val="Times New Roman"/>
        <family val="1"/>
        <charset val="204"/>
      </rPr>
      <t xml:space="preserve"> 41050600</t>
    </r>
    <r>
      <rPr>
        <b/>
        <sz val="11"/>
        <rFont val="Times New Roman"/>
        <family val="1"/>
        <charset val="204"/>
      </rPr>
      <t xml:space="preserve"> "Субвенція з місцевого бюджету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11 - 14 частини другої статті 7 або учасниками бойових дій відповідно до пунктів 19 - 21 частини першої статті 6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 " - </t>
    </r>
    <r>
      <rPr>
        <b/>
        <sz val="16"/>
        <color rgb="FFFF0000"/>
        <rFont val="Times New Roman"/>
        <family val="1"/>
        <charset val="204"/>
      </rPr>
      <t>ПЕРЕДАЧА</t>
    </r>
  </si>
  <si>
    <t>08</t>
  </si>
  <si>
    <t>0813222</t>
  </si>
  <si>
    <t>1060</t>
  </si>
  <si>
    <t>Разом 3240</t>
  </si>
  <si>
    <r>
      <rPr>
        <b/>
        <sz val="14"/>
        <color rgb="FF000000"/>
        <rFont val="Times New Roman"/>
        <family val="1"/>
        <charset val="204"/>
      </rPr>
      <t xml:space="preserve">За рахунок субвенції з державного бюджету  - 41032300 "Субвенція з державного бюджету  місцевим бюджетам на реалізацію інфраструктурних проектів та розвиток об'єктів соціально - культурної сфери" - </t>
    </r>
    <r>
      <rPr>
        <b/>
        <sz val="14"/>
        <color rgb="FFFF0000"/>
        <rFont val="Times New Roman"/>
        <family val="1"/>
        <charset val="204"/>
      </rPr>
      <t>ПЕРЕДАЧА</t>
    </r>
  </si>
  <si>
    <t>Затверджений план на 2022 рік</t>
  </si>
  <si>
    <t>Уточнений план на 2022 рік</t>
  </si>
  <si>
    <t>План на січень-квітень 2022 року</t>
  </si>
  <si>
    <t>01.05.2022 р.</t>
  </si>
  <si>
    <t>31</t>
  </si>
  <si>
    <t>Капітальний ремонт дорожнього покриття вул. Старицького в м. Коломия Івано-Франківської області</t>
  </si>
  <si>
    <r>
      <rPr>
        <b/>
        <sz val="14"/>
        <color rgb="FF000000"/>
        <rFont val="Times New Roman"/>
        <family val="1"/>
        <charset val="204"/>
      </rPr>
      <t xml:space="preserve">За рахунок субвенції з державного бюджету  - 41032500 "Субвенція з державного бюджету  місцевим бюджетам на розвиток комунальної інфраструктури, у тому числі на придбання комунальної технікии" - </t>
    </r>
    <r>
      <rPr>
        <b/>
        <sz val="14"/>
        <color rgb="FFFF0000"/>
        <rFont val="Times New Roman"/>
        <family val="1"/>
        <charset val="204"/>
      </rPr>
      <t>ПЕРЕДАЧА</t>
    </r>
  </si>
  <si>
    <t>Придбання комунальної техніки</t>
  </si>
  <si>
    <t>За рахунок субвенції з обласного бюджету (41053900- Інша субвенція )</t>
  </si>
  <si>
    <t>0112151</t>
  </si>
  <si>
    <t>2151</t>
  </si>
  <si>
    <t>06</t>
  </si>
  <si>
    <t>10</t>
  </si>
  <si>
    <t>Управління Культури</t>
  </si>
  <si>
    <t>0829</t>
  </si>
  <si>
    <r>
      <rPr>
        <b/>
        <sz val="14"/>
        <rFont val="Times New Roman"/>
        <family val="1"/>
        <charset val="204"/>
      </rPr>
      <t xml:space="preserve">За рахунок субвенції з обласного бюджету - 41056400 "Субвенція з місцевого бюджету  на створення мережі спеціалізованих служб підтримки осіб, які постраждали від домашнього насильства та/або насильства за ознакою статі за рахунок відповідної субвенції з державного бюджету " - 41056400 - </t>
    </r>
    <r>
      <rPr>
        <b/>
        <sz val="16"/>
        <color rgb="FFFF0000"/>
        <rFont val="Times New Roman"/>
        <family val="1"/>
        <charset val="204"/>
      </rPr>
      <t>ПЕРЕДАЧА</t>
    </r>
  </si>
  <si>
    <t>1040</t>
  </si>
  <si>
    <t xml:space="preserve">Спрямування залишок коштів загального фонду , який склався станом на 01.01.2022р., як субвенцію з державного бюджету місцевим бюджетам </t>
  </si>
  <si>
    <r>
      <rPr>
        <b/>
        <sz val="16"/>
        <color rgb="FF000000"/>
        <rFont val="Times New Roman"/>
        <family val="1"/>
        <charset val="204"/>
      </rPr>
      <t xml:space="preserve">на здійснення заходів щодо соціально –економічного розвитку окремих територій - субвенція </t>
    </r>
    <r>
      <rPr>
        <b/>
        <sz val="20"/>
        <color rgb="FFFF0000"/>
        <rFont val="Times New Roman"/>
        <family val="1"/>
        <charset val="204"/>
      </rPr>
      <t>41054101</t>
    </r>
    <r>
      <rPr>
        <b/>
        <sz val="16"/>
        <color rgb="FF000000"/>
        <rFont val="Times New Roman"/>
        <family val="1"/>
        <charset val="204"/>
      </rPr>
      <t xml:space="preserve"> - </t>
    </r>
    <r>
      <rPr>
        <b/>
        <sz val="16"/>
        <color rgb="FFFF0000"/>
        <rFont val="Times New Roman"/>
        <family val="1"/>
        <charset val="204"/>
      </rPr>
      <t>РОБИМО ПЕРЕДАЧУ</t>
    </r>
  </si>
  <si>
    <t>01</t>
  </si>
  <si>
    <t>0117363</t>
  </si>
  <si>
    <t>Нове будівництво спортивного майданчика Коломийського ліцею № 2 по вул. м. Лисенка, 24 в м. Коломиї</t>
  </si>
  <si>
    <t>3117363</t>
  </si>
  <si>
    <t>Капітальний ремонт дорожнього покриття вул. Шкрумеляка в м. Коломиї Івано-Франківської області</t>
  </si>
  <si>
    <t>Капітальний ремонт дорожнього і тротуарного покриття по вул. Винниченка в м. Коломиї Івано-Франківської області</t>
  </si>
  <si>
    <t>Капітальний ремонт дорожнього і тротуарного покриття вул. Чайковського в м. Коломиї Івано-Франківської області</t>
  </si>
  <si>
    <t>Начальник управління фінансів і внутрішнього аудиту</t>
  </si>
  <si>
    <t>Ольга ГАВДУНИК</t>
  </si>
  <si>
    <t>Субвенція обласному бюджету :</t>
  </si>
  <si>
    <t>Капітальний ремонт каналізаційних мереж</t>
  </si>
  <si>
    <t>Затверджений план на 2024 рік</t>
  </si>
  <si>
    <t>Уточнений план на 2024 рік</t>
  </si>
  <si>
    <t>План на січень 2024 року</t>
  </si>
  <si>
    <t>01.02.2024 р.</t>
  </si>
  <si>
    <t>Нове будівництво малого групового  будинку по  вул. Маковея в місті Коломиї (коригування)</t>
  </si>
  <si>
    <t xml:space="preserve">На Програму "Сприяння розвитку та зміцнення матеріальної бази військових частин на період 2024 рік" </t>
  </si>
  <si>
    <t>На Програму "Фінансове забезпечення взаємодії Коломийської міської ради та Івано-Франківської квартирно-експлуатаційної частини району на 2022-2024 роки"</t>
  </si>
  <si>
    <t>Капітальний ремонт території Коломийського ліцею № 8 Коломийської міської ради Івано-Франківської області, за адресою: м. Коломия, вул. Коновальця, будинок 10</t>
  </si>
  <si>
    <t>Капітальний ремонт частини будівлі для облаштування притулку для осіб, які постраждали від домашнього насильства та/або насильства за ознакою статі за адресою: вулиця Шкільна, 34а, село Товмачик, Коломийський район, Івано-Франківська область</t>
  </si>
  <si>
    <t>Реконструкція будівлі під соціальний комплекс для вразливих категорій населення (внутрішньо переміщених (евакуйованих осіб))по вул. Симона Петлюри, 24 в м. Коломия, Івано-Франківська область</t>
  </si>
  <si>
    <t xml:space="preserve">Реконструкція приміщення для облаштування місць тимчасового перебування ВПО по вулиці Гетьманська, 5 м. Коломия, Івано-Франківська область </t>
  </si>
  <si>
    <t>Капітальний ремонт системи опалення в КЗ ПКМ "Народний дім"</t>
  </si>
  <si>
    <t>Капітальний ремонт вул. Кобилянської в м. Коломиї. Коригування</t>
  </si>
  <si>
    <t>Капітальний ремонт дорожнього покриття вул.Едельвейсів в місті Коломиї</t>
  </si>
  <si>
    <t>Капітальний ремонт дорожнього покриття від будинку № 391 по вул.Довбуша в м. Коломиї до автомобільної дороги загального користування Н-10 Стрий - Івано-Франківськ - Чернівці - Мамалига</t>
  </si>
  <si>
    <t xml:space="preserve">Капітальний ремонт  вул. Русина в м. Коломиї </t>
  </si>
  <si>
    <t xml:space="preserve">Капітальний ремонт вул. І.Шарлая в м. Коломиї </t>
  </si>
  <si>
    <t>Капітальний ремонт дорожнього покриття від моста через р. Прут на автомобільній дорозі загального користування 0090701 сполученням Корнич-Завалля до с.Грушів</t>
  </si>
  <si>
    <t>Капітальний ремонт дитячого майданчика по вул.Січових Стрільців,23 в м.Коломиї</t>
  </si>
  <si>
    <t>Капітальний ремонт дитячого майданчика по вул.Січових Стрільців,33 в м.Коломиї</t>
  </si>
  <si>
    <t>Капітальний ремонт дитячого майданчика по вул.Маковея,8 в м.Коломиї</t>
  </si>
  <si>
    <t>Капітальний ремонт дитячого майданчика по вул.Мазепи,248 в м.Коломиї</t>
  </si>
  <si>
    <t>Капітальний ремонт дитячого майданчика по вул.Петлюри,42 в м.Коломиї</t>
  </si>
  <si>
    <t>Капітальний ремонт дитячого майданчика по вул.Лисенка,38 в м.Коломиї</t>
  </si>
  <si>
    <t>Капітальний ремонт автобусної зупинки по вул.Косачівській, 6 в м.Коломиї</t>
  </si>
  <si>
    <t>Капітальний ремонт автобусної зупинки по вул. Мазепи, 296 в м.Коломиї</t>
  </si>
  <si>
    <t>Капітальний ремонт автобусної зупинки по вул. Мазепи, 305 в м.Коломиї</t>
  </si>
  <si>
    <t>Капітальний ремонт автобусної зупинки в  с. Товмачик</t>
  </si>
  <si>
    <t>На Програму "Благоустрій Коломийської міської територіальної громади на 2021-2025роки"</t>
  </si>
  <si>
    <t>Нове будівництво мостового переходу на автомобільній дорозі О090701 Корнич-Завалля км 2+814 через річку Прут в селі Корнич, Коломийського району, Івано - Франківської області</t>
  </si>
  <si>
    <t>Нове будівництво пішохідного переходу та лівосторонньої дамби укріплення берега через річку Прут від вулиці Лесі Українки до правого берега річки у селі Іванівці, Коломийського району, Івано - Франківської області</t>
  </si>
  <si>
    <t>Реконструкція спортивного комплексу на вул. Ольги Кобилянської, 8-А в м.Коломиї Івано-Франківської області</t>
  </si>
  <si>
    <t>Нове будівництво модульної котельні із заміною котлів Коломийського ліцею №1 імені Василя Стефаника Коломийської міської ради, за адресою: вулиця Карпатська,75, місто Коломия, Івано-Франківська область</t>
  </si>
  <si>
    <t>Капітальний ремонт системи опалення Коломийського закладу дошкільної освіти (ясла-садок) комбінованого типу №2 "Дударик" Коломийської міської ради за адресою: Івано-Франківська область, м. Коломия, вул. Сніжна,1</t>
  </si>
  <si>
    <t>Капітальний ремонт системи опалення Коломийського закладу дошкільної освіти (ясла-садок) №3 "Берізка" Коломийської міської ради, за адресою: Івано-Франківська область, м. Коломия, вул. Гната Ковцуняка,1-в</t>
  </si>
  <si>
    <t>Капітальний ремонт системи опалення Коломийського закладу дошкільної освіти (ясла-садок) №5 "Барвінок" Коломийської міської ради, за адресою: Івано-Франківська область, м. Коломия, вул.Карпатська, 40 б</t>
  </si>
  <si>
    <t>Капітальний ремонт системи опалення Коломийського закладу дошкільної освіти (ясла-садок) №7 "Росинка" Коломийської міської ради, за адресою: Івано-Франківська область, м. Коломия, вул.Дмитра Яворницького,9</t>
  </si>
  <si>
    <t>Капітальний ремонт системи опалення Коломийського закладу дошкільної освіти (ясла-садок) №14 "Світанок" Коломийської міської ради, за адресою: Івано-Франківська область, м. Коломия, вул.Миколи Лисенка, 9</t>
  </si>
  <si>
    <t>Капітальний ремонт системи опалення будівлі закладу дошкільної освіти (ясла-садок) №21 "Пролісок" на вул.Леонтовича,12 у м. Коломиї Івано-Франківської області</t>
  </si>
  <si>
    <t>Капітальний ремонт системи опалення Коломийського ліцею №4 імені Сергія Лисенка Коломийської міської ради, за адресою: Івано-Франківська область, м. Коломия, вул.Марії Заньковецької,11</t>
  </si>
  <si>
    <t>Капітальний ремонт системи опалення (заміна котлів) Коломийської гімназії №7 філії Коломийського ліцею №5 імені Т.Шевченка Коломийської міської ради, за адресою: Івано-Франківська область, м. Коломия, вул. Карпатська,74</t>
  </si>
  <si>
    <t>Капітальний ремонт системи опалення Коломийського ліцею №8 Коломийської міської ради, за адресою: Івано-Франківська область, м. Коломия, вул.Євгена Коновальця,10,11</t>
  </si>
  <si>
    <t>Капітальний ремонт системи опалення Коломийського ліцею №9 Коломийської міської ради, за адресою: Івано-Франківська область, м. Коломия, вул.Михайла Драгоманова,1</t>
  </si>
  <si>
    <t>Реконструкція системи водовідведення на кладовищі по вул. Довбуша, 420</t>
  </si>
  <si>
    <t>Реконструкція площі в межах вулиць Симона Петлюри, Івана Франка та Січових Стрільців у місті Коломиї</t>
  </si>
  <si>
    <t>Реконструкція тиру під укриття- тир по вул.Міцкевича №3 у м. Коломия</t>
  </si>
  <si>
    <t>Реконструкція нежитлового приміщення на вулиці Лесі Українки, 37 в місті Коломиї Івано-Франківської області</t>
  </si>
  <si>
    <t>Реконструкція нежитлового приміщення на вулиці Мазепи,262 в місті Коломиї Івано-Франківської області</t>
  </si>
  <si>
    <t xml:space="preserve">Реконструкція нежитлової будівлі по проспекту М.Грушевського,1б в місті Коломиї </t>
  </si>
  <si>
    <t>Реконструкція майстерні (літера «В») під навчальні класи з влаштуванням укриття в Коломийській філії 10 Коломийського ліцею 9 по вул. Січових Стрільців, 30 в м. Коломия, Івано-Франківської області</t>
  </si>
  <si>
    <t>Статутний капітал "Коломийський центр туризму та дозвілля"</t>
  </si>
  <si>
    <t>На Програму "Розвиток земельних відносин на 2021 - 2025 роки"</t>
  </si>
  <si>
    <t xml:space="preserve">Разом по бюджету розвитку за 2024 рік </t>
  </si>
  <si>
    <t>Разом по бюджету розвитку за 2024 рік + вільний залишок на 01.01.2024р.</t>
  </si>
  <si>
    <t>Разом по бюджету розвитку за 2024 рік + субвенції + гаран.зобов.</t>
  </si>
  <si>
    <t xml:space="preserve">Перелік об'єктів, видатки на які у 2024 році будуть проводитись   </t>
  </si>
  <si>
    <t xml:space="preserve">Капітальний ремонт системи опалення корпусу № 2 Коломийської філії № 10 Коломийського ліцею № 9 Коломийської міської ради Івано - Франківської області </t>
  </si>
  <si>
    <t>Капітальний ремонт спортивного майданчика по вул. Достоєвського в м. Коломиї</t>
  </si>
  <si>
    <t>Капітальний ремонт проїзду до озера в парку ім. Т. Шевченка в м. Коломиї</t>
  </si>
  <si>
    <t xml:space="preserve">Капітальний ремонт пішохідних доріжок біля озера в парку ім. Т. Шевченка в м. Коломиї </t>
  </si>
  <si>
    <t>Капітальний ремонт вуличного освітлення біля озера в парку ім.Т.Шевченка в м.Коломиї</t>
  </si>
  <si>
    <t>Нове будівництво пішохідного мостового переходу через річку Прут від вулиці Лесі Українки до правого берега річки у селі Іванівці, Коломийського району, Івано - Франківської області</t>
  </si>
  <si>
    <t>Нове будівництво спортивної споруди Елінгу  по вул. Івана Новодворського в м. Коломиї, Івано - Франківської області</t>
  </si>
  <si>
    <t>Нове будівництво спортивного залу на вул. Ольги Кобилянської, 8-А у м. Коломиї, Івано - Франківської області</t>
  </si>
  <si>
    <t>Нове будівництво модульної котельні із заміною котлів Коломийського ліцею №1 імені Василя Стефаника Коломийської міської ради, за адресою: вулиця Міцкевича, 3, місто Коломия, Івано-Франківська область</t>
  </si>
  <si>
    <t>Капітальний ремонт нежитлового приміщення на вулиці Січових Стрільців, 4 в місті Коломиї</t>
  </si>
  <si>
    <t>Капітальний ремонт нежитлового приміщення на вулиці Мазепи, 4 в місті Коломиї</t>
  </si>
  <si>
    <t>Капітальний ремонт даху центру надання адміністративних послуг за адресою: площа Привокзальна, 2А/1, місто Коломия, Івано - Франківська область</t>
  </si>
  <si>
    <t>Капітальний ремонт фасаду Коломийського ліцею №5 імені Т.Шевченка, по проспекту Грушевського,64 в м.Коломия Івано-Франківської області</t>
  </si>
  <si>
    <t>Капітальний ремонт споруди цивільного захисту  Коломийського ліцею №5 імені Т.Шевченка Коломийської міської ради Івано-Франківської області</t>
  </si>
  <si>
    <t>Капітальний ремонт фасаду Коломийської гімназії №7 філії Коломийського ліцею №5 імені Т.Шевченка на вул.Карпатська,74 в м.Коломиї Івано - Франківської області</t>
  </si>
  <si>
    <t>Капітальний ремонт споруди цивільного захисту Коломийського ліцею №9 Коломийської міської ради Івано-Франківської області</t>
  </si>
  <si>
    <t>Капітальний ремонт частини будівлі та території по вулиці Шкільна, 34а, в с. Товмачик, Коломийського району, Івано-Франківської області</t>
  </si>
  <si>
    <t>"Нове будівництво спортивного залу та майстерень Коломийського НВК №9 «Школа-природничо-математичний ліцей» по вул.М.Драгоманова, 1 в м.Коломиї Івано-Франківської області. Коригування РП"</t>
  </si>
  <si>
    <t>"Нове будівництво модульного спортивного залу КУ "Молодіжний центр" в с. Королівка по вул. Спортивна, Коломийського району, Івано - Франківської області" (коригування 2)</t>
  </si>
  <si>
    <t>Капітальний ремонт тротуарів по вул. Мазепи від буд. №303Б до буд. №305 та від буд. №300 до межі міста в місті Коломиї</t>
  </si>
  <si>
    <t>Капітальний ремонт нежитлового приміщення з заміною віконних та дверних блоків на вулиці Січових Стрільців, 4 в місті Коломиї</t>
  </si>
  <si>
    <t>Проведення заходів для боротьби з шкідливою дією вод на р.Прут в районі пішохідного моста в с. Воскресинці (капітальний ремонт)</t>
  </si>
  <si>
    <t xml:space="preserve"> спеціального фонду міського бюджету, який склався станом на 01.01.2024 року</t>
  </si>
  <si>
    <t>Субвенція обласному бюджету:</t>
  </si>
  <si>
    <t xml:space="preserve">субвенції обласному бюджету Івано-Франківської області (Департаменту розвитку громад та територій, дорожнього, житлово-комунального господарства, містобудування та архітектури) для співфінансування робіт з будівництва військових інженерно-технічних і фортифікаційних споруд на території Донецької області </t>
  </si>
  <si>
    <t xml:space="preserve">На Програму "Сприяння розвитку та зміцнення матеріальної бази військових частин на 2024 рік" </t>
  </si>
  <si>
    <t>Капітальний ремонт доріжок та системи водовідведення на кладовищі по вул. Довбуша, 420 в м. Коломиї</t>
  </si>
  <si>
    <t>Нове будівництво укриття на вулиці Карпатській,74 у місті Коломиї</t>
  </si>
  <si>
    <t>Капітальний ремонт системи опалення із проведенням ділянки тепломережі від котельні до Саджавського закладу дошкільної освіти (ясла-садок) "Дударик" Коломийської міської ради за адресою: вулиця Кобилянської, 3А, село Саджавка</t>
  </si>
  <si>
    <r>
      <t xml:space="preserve">(вільний залишок </t>
    </r>
    <r>
      <rPr>
        <b/>
        <sz val="14"/>
        <color rgb="FFFF0000"/>
        <rFont val="Times New Roman"/>
        <family val="1"/>
        <charset val="204"/>
      </rPr>
      <t>БЮДЖЕТУ РОЗВИТКУ</t>
    </r>
    <r>
      <rPr>
        <b/>
        <sz val="11"/>
        <color rgb="FFFF0000"/>
        <rFont val="Times New Roman"/>
        <family val="1"/>
        <charset val="204"/>
      </rPr>
      <t xml:space="preserve"> спрямовано на цей обєкт в сумі - </t>
    </r>
    <r>
      <rPr>
        <b/>
        <sz val="16"/>
        <color rgb="FFFF0000"/>
        <rFont val="Times New Roman"/>
        <family val="1"/>
        <charset val="204"/>
      </rPr>
      <t>3533,96 грн.)</t>
    </r>
  </si>
  <si>
    <r>
      <t xml:space="preserve">(в т.ч. вільний залишок с.ф. - бюджету розвитку - </t>
    </r>
    <r>
      <rPr>
        <b/>
        <sz val="22"/>
        <color rgb="FFFF0000"/>
        <rFont val="Times New Roman"/>
        <family val="1"/>
        <charset val="204"/>
      </rPr>
      <t>3 533,96 грн.</t>
    </r>
    <r>
      <rPr>
        <b/>
        <sz val="18"/>
        <color rgb="FFFF0000"/>
        <rFont val="Times New Roman"/>
        <family val="1"/>
        <charset val="204"/>
      </rPr>
      <t>)</t>
    </r>
  </si>
  <si>
    <r>
      <t xml:space="preserve">Разом по бюджету розвитку за 2024 рік + </t>
    </r>
    <r>
      <rPr>
        <b/>
        <sz val="14"/>
        <color rgb="FFFF0000"/>
        <rFont val="Times New Roman"/>
        <family val="1"/>
        <charset val="204"/>
      </rPr>
      <t>Вільний залишок БЮДЖЕТУ РОЗВИТКУ на 01.01.2024р.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b/>
        <sz val="18"/>
        <color rgb="FFC00000"/>
        <rFont val="Times New Roman"/>
        <family val="1"/>
        <charset val="204"/>
      </rPr>
      <t>(3 533,96 грн.)</t>
    </r>
  </si>
  <si>
    <t>Реконструкція нежитлового будинку з надбудовою без зміни зовнішніх геометричних розмірів їхніх фундаментів у плані під багатоквартирний житловий будинок по вул. Гетьмана Івана Мазепи, 262 в м. Коломия, Івано-Франківської області</t>
  </si>
  <si>
    <t>0118220</t>
  </si>
  <si>
    <t xml:space="preserve">На Програму "Розвиток Центру військово-патріотичного виховання та допризивної підготовки на 2022-2025 роки" </t>
  </si>
  <si>
    <t>Капітальний ремонт (підготовчі роботи) на території ліцею № 1 ім. Василя Стефаника Коломийської міської ради Івано - Франківської області по вул. Міцкевича, 3 у м. Коломиї</t>
  </si>
  <si>
    <t>Капітальний ремонт  дорожнього та тротуарного покриття  з влаштуванням транспортної розв’язки в одному рівні на перехресті вулиць С.Петлюри-С. Стрільців-Л.Українки-В.Чорновола- І.Франка у м. Коломиї  Івано-Франківської обл.</t>
  </si>
  <si>
    <t>Капітальний ремонт дорожнього та тротуарного покриття вул.С.Петлюри в м. Коломиї  Івано-Франківської обл.</t>
  </si>
  <si>
    <t>Капітальний ремонт дорожнього та тротуарного покриття вул.С.Стрільців в м. Коломиї  Івано-Франківської обл.</t>
  </si>
  <si>
    <t>Капітальний ремонт дорожнього покриття (під'їзних шляхів) з села Грушів до гори Юрів села Воскресинці</t>
  </si>
  <si>
    <t>Капітальний ремонт  пішохідних доріжок в парку ім. Т.Шевченка в м. Коломиї</t>
  </si>
  <si>
    <t>Капітальний ремонт території скверу по вул. Атаманюка до берегоукріплення р. Прут в місті Коломиї</t>
  </si>
  <si>
    <t>Капітальний ремонт території прилеглої до вул. Аркаса в місті коломиї</t>
  </si>
  <si>
    <t>Нове будівництво баскетбольного майданчика на пр.Грушевського,64 в м.Коломиї</t>
  </si>
  <si>
    <t>Нове будівництво спортивного майданчика на вул.І.Мазепи,132А в м.Коломиї</t>
  </si>
  <si>
    <t>Капітальний ремонт нежитлової будівлі на вулиці В'ячеслава Чорновола, 55 в місті Коломиї</t>
  </si>
  <si>
    <t>Капітальний ремонт системи опалення Коломийського закладу дошкільної освіти (ясла-садок) №3 "Берізка" Коломийської міської ради, за адресою: Івано-Франківська область, м. Коломия, вул. Гната Ковцуняка,1в</t>
  </si>
  <si>
    <t>Капітальний ремонт фасаду  Коломийського закладу дошкільної освіти (ясла-садок) №3 "Берізка" Коломийської міської ради  на вул. Гната Ковцуняка,1в  в м.Коломиї Івано-Франківської області</t>
  </si>
  <si>
    <t>Капітальний ремонт фасаду Коломийського ліцею  №4 імені Сергія Лисенка на вул.Заньковецької, 11 в м.Коломиї Івано-Франківської області</t>
  </si>
  <si>
    <t>Капітальний ремонт протирадіаційного укриття №35529 Коломийського академічного обласного українського драматичного театру імені Івана Озаркевича на площі Вічевий Майдан,7 в м.Коломия</t>
  </si>
  <si>
    <t xml:space="preserve">Реконструкція майстерень під укриття на вулиці Карпатській,74 у місті Коломиї </t>
  </si>
  <si>
    <r>
      <t>Реконструкція  з надбудовою</t>
    </r>
    <r>
      <rPr>
        <b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нежитлового приміщення на вулиці Мазепи, 4 в місті Коломиї</t>
    </r>
  </si>
  <si>
    <t>Внески до статутного капіталу для КП "Коломияводоканал"</t>
  </si>
  <si>
    <t>Внески до статутного капіталу для КП "Коломиятеплосервіс"</t>
  </si>
  <si>
    <t>Капітальний ремонт берегоукріплення та регулювання русла річки Саджавочка в селі Саджавка, Надвірнянського району, Івано - Франківської області</t>
  </si>
  <si>
    <t xml:space="preserve">Реконструкція берегоукріплення лівого берега р. Прут від моста на с. Н.Вербіж до парку ім. Т.Шевченка в м. Коломиї  </t>
  </si>
  <si>
    <t>Капітальний ремонт зовнішніх каналізаційних та дощових мереж на території Коломийського ліцею "Коломийська гімназія імені Михайла Грушевського" Коломийської міської ради Івано - Франківської області по вул. Івана Франка, 19 в м. Коломиї</t>
  </si>
  <si>
    <t>Капітальний ремонт по заміні внутрішньої системи та теплотраси до паливної  Івановецької філії ім.Михайла Вишиванюка Коломиського ліцею № 8 по вул.Центральна  буд.16 в с.Іванівці Коломийського району Івано-Франківської області</t>
  </si>
  <si>
    <t>Капітальний ремонт спортивної зали Івановецької філії ім. Михайла Вишиванюка Коломийського ліцею №8 по вул. Центральна буд.16 в с. Іванівці Коломийського району Івано - Франківської області</t>
  </si>
  <si>
    <t>Капітальний  ремонт  по заміні внутрішньої системи та теплотраси до паливної  Товмачицької  філії  Коломиського ліцею № 8 по вул. Івана Франка буд.1 в с.Товмачик Коломийського району Івано-Франківської області</t>
  </si>
  <si>
    <t>Капітальний ремонт санвузлів Коломиського ліцею № 8 по вул.Коновальця буд.10 в м. Коломия  Івано-Франківської області</t>
  </si>
  <si>
    <t>0617321</t>
  </si>
  <si>
    <t>Нове будівництво спортивного майданчика на території Коломийської філії №3 Коломийського ліцею №4 імені Сергія Лисенка по вул. І. Мазепи, 132 А в м. Коломия, Івано - Франківської області</t>
  </si>
  <si>
    <t>Будівництво спортивного майданчика на території Коломийського ліцею № 5 імені Т. Г. Шевченка на проспекті Михайла Грушевського, 64 в м. Коломия, Івано - Франківської області</t>
  </si>
  <si>
    <t xml:space="preserve">Нове будівництво транспортабельної модульної котельні Коломийської філії № 20 Коломийського ліцею № 4 ім. Сергія Лисенка Коломийської міської ради Івано-Франківської області по вул. Маковея,16а  у м. Коломия Івано-Франківської області </t>
  </si>
  <si>
    <t>0817370</t>
  </si>
  <si>
    <t>Капітальний ремонт частини приміщення для облаштування центру життєстійкості за адресою: м. Коломия, вул. Гетьмана І. Мазепи, 4</t>
  </si>
  <si>
    <t>1017324</t>
  </si>
  <si>
    <t>Нове будівництво транспортабельної модульної котельні КЗ "Коломийська музична школа №2 імені Г. Грабець" на вул. Чайковського, 22, м. Коломия Івано - Франківської області</t>
  </si>
  <si>
    <t>Капітальний ремонт  фасаду нежитлового приміщення за адресою: вулиця Шкільна,34А, с. Товмачик, Коломийського району Івано-Франківської області</t>
  </si>
  <si>
    <t>Капітальний ремонт  фасаду будівлі закладу дошкільної освіти (ясла-садок) № 9«Веселка» Коломийської міської ради Івано-Франківської області за адресою: вулиця Гординського,5А,  місто Коломия</t>
  </si>
  <si>
    <t>Капітальний ремонт системи опалення будівлі ЗДО №21 "Пролісок" на вул.Леонтовича,12 у м. Коломиї Івано-Франківської області</t>
  </si>
  <si>
    <t>Капітальний ремонт  системи опалення із проведенням ділянки тепломережі від котельні до Саджавського ліцею Коломийської міської ради по вул.Українській,77а в с. Саджавка Надвірнянського району Івано - Франківської області</t>
  </si>
  <si>
    <t>Капітальний ремонт  фасаду та покрівлі будівлі Саджавського закладу дошкільної освіти (ясла-садок) «Дударик» Коломийської міської ради за адресою: вул.Кобилянської, 3А,  с. Саджавка, Надвірнянського району Івано-Франківської області</t>
  </si>
  <si>
    <t>Капітальний ремонт  фасаду та покрівлі будівлі Корницького закладу дошкільної освіти (ясла-садок) «Калина» Коломийської міської ради Івано-Франківської області за адресою: вул. Перемоги,26,  с.Корнич, Коломийського району Івано-Франківської області</t>
  </si>
  <si>
    <t>Капітальний ремонт берегоукріплення та регулювання русла річки Слобушниця в селі Саджавка, Надвірнянського району, Івано-Франківської області</t>
  </si>
  <si>
    <t>План на січень - червень 2024 року</t>
  </si>
  <si>
    <t>Касові на 01.07.2024 року</t>
  </si>
  <si>
    <t>% викон. факту до плану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</si>
</sst>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84" x14ac:knownFonts="1"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0"/>
      <name val="Arial Cyr"/>
      <charset val="204"/>
    </font>
    <font>
      <sz val="11"/>
      <color rgb="FF333399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FF9900"/>
      <name val="Calibri"/>
      <family val="2"/>
      <charset val="204"/>
    </font>
    <font>
      <sz val="10"/>
      <name val="Courier New"/>
      <family val="3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0"/>
      <name val="Times New Roman"/>
      <family val="1"/>
      <charset val="204"/>
    </font>
    <font>
      <sz val="11"/>
      <color rgb="FF800080"/>
      <name val="Calibri"/>
      <family val="2"/>
      <charset val="204"/>
    </font>
    <font>
      <i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0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sz val="10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u/>
      <sz val="16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4"/>
      <color rgb="FF000000"/>
      <name val="Calibri"/>
      <family val="2"/>
      <charset val="204"/>
    </font>
    <font>
      <b/>
      <sz val="1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name val="Calibri"/>
      <family val="2"/>
      <charset val="204"/>
    </font>
    <font>
      <b/>
      <u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4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b/>
      <sz val="16"/>
      <color rgb="FF000000"/>
      <name val="Calibri"/>
      <family val="2"/>
      <charset val="204"/>
    </font>
    <font>
      <b/>
      <sz val="16"/>
      <name val="Calibri"/>
      <family val="2"/>
      <charset val="204"/>
    </font>
    <font>
      <i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u/>
      <sz val="14"/>
      <color rgb="FF00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6"/>
      <color rgb="FF000000"/>
      <name val="Calibri"/>
      <family val="2"/>
      <charset val="204"/>
    </font>
    <font>
      <b/>
      <sz val="14"/>
      <name val="Calibri"/>
      <family val="2"/>
      <charset val="204"/>
    </font>
    <font>
      <sz val="7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8"/>
      <color rgb="FF0000FF"/>
      <name val="Times New Roman"/>
      <family val="1"/>
      <charset val="204"/>
    </font>
    <font>
      <b/>
      <sz val="14"/>
      <color rgb="FF0000FF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</font>
    <font>
      <i/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2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8"/>
      <color rgb="FFC00000"/>
      <name val="Times New Roman"/>
      <family val="1"/>
      <charset val="204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48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FAF46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9211E"/>
      </patternFill>
    </fill>
    <fill>
      <patternFill patternType="solid">
        <fgColor rgb="FF339966"/>
        <bgColor rgb="FF3FAF46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2D05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BFBFBF"/>
        <bgColor rgb="FFC0C0C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00FFFF"/>
      </patternFill>
    </fill>
    <fill>
      <patternFill patternType="solid">
        <fgColor rgb="FFCCCCFF"/>
        <bgColor indexed="64"/>
      </patternFill>
    </fill>
    <fill>
      <patternFill patternType="solid">
        <fgColor rgb="FFCCCCFF"/>
        <bgColor indexed="22"/>
      </patternFill>
    </fill>
    <fill>
      <patternFill patternType="solid">
        <fgColor rgb="FFCCCCFF"/>
        <bgColor rgb="FFFF8080"/>
      </patternFill>
    </fill>
    <fill>
      <patternFill patternType="solid">
        <fgColor rgb="FFCCCCFF"/>
        <bgColor rgb="FFBFBFBF"/>
      </patternFill>
    </fill>
    <fill>
      <patternFill patternType="solid">
        <fgColor theme="9" tint="0.59999389629810485"/>
        <bgColor rgb="FFFF8080"/>
      </patternFill>
    </fill>
    <fill>
      <patternFill patternType="solid">
        <fgColor rgb="FFCCCCFF"/>
        <bgColor rgb="FFFFFF00"/>
      </patternFill>
    </fill>
    <fill>
      <patternFill patternType="solid">
        <fgColor rgb="FFCC99FF"/>
        <bgColor rgb="FFFFFF00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8" tint="0.59999389629810485"/>
        <bgColor rgb="FFFFFF00"/>
      </patternFill>
    </fill>
    <fill>
      <patternFill patternType="solid">
        <fgColor rgb="FF33CCFF"/>
        <bgColor rgb="FFFFFF00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4">
    <xf numFmtId="0" fontId="0" fillId="0" borderId="0"/>
    <xf numFmtId="0" fontId="70" fillId="2" borderId="0" applyBorder="0" applyProtection="0"/>
    <xf numFmtId="0" fontId="70" fillId="3" borderId="0" applyBorder="0" applyProtection="0"/>
    <xf numFmtId="0" fontId="70" fillId="4" borderId="0" applyBorder="0" applyProtection="0"/>
    <xf numFmtId="0" fontId="70" fillId="5" borderId="0" applyBorder="0" applyProtection="0"/>
    <xf numFmtId="0" fontId="70" fillId="6" borderId="0" applyBorder="0" applyProtection="0"/>
    <xf numFmtId="0" fontId="70" fillId="7" borderId="0" applyBorder="0" applyProtection="0"/>
    <xf numFmtId="0" fontId="70" fillId="8" borderId="0" applyBorder="0" applyProtection="0"/>
    <xf numFmtId="0" fontId="70" fillId="9" borderId="0" applyBorder="0" applyProtection="0"/>
    <xf numFmtId="0" fontId="70" fillId="10" borderId="0" applyBorder="0" applyProtection="0"/>
    <xf numFmtId="0" fontId="70" fillId="5" borderId="0" applyBorder="0" applyProtection="0"/>
    <xf numFmtId="0" fontId="70" fillId="8" borderId="0" applyBorder="0" applyProtection="0"/>
    <xf numFmtId="0" fontId="70" fillId="11" borderId="0" applyBorder="0" applyProtection="0"/>
    <xf numFmtId="0" fontId="1" fillId="12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5" borderId="0" applyBorder="0" applyProtection="0"/>
    <xf numFmtId="0" fontId="2" fillId="0" borderId="0"/>
    <xf numFmtId="0" fontId="1" fillId="16" borderId="0" applyBorder="0" applyProtection="0"/>
    <xf numFmtId="0" fontId="1" fillId="17" borderId="0" applyBorder="0" applyProtection="0"/>
    <xf numFmtId="0" fontId="1" fillId="18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9" borderId="0" applyBorder="0" applyProtection="0"/>
    <xf numFmtId="0" fontId="3" fillId="7" borderId="1" applyProtection="0"/>
    <xf numFmtId="0" fontId="4" fillId="20" borderId="2" applyProtection="0"/>
    <xf numFmtId="0" fontId="5" fillId="20" borderId="1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>
      <alignment vertical="top"/>
    </xf>
    <xf numFmtId="0" fontId="8" fillId="0" borderId="3" applyProtection="0"/>
    <xf numFmtId="0" fontId="9" fillId="21" borderId="4" applyProtection="0"/>
    <xf numFmtId="0" fontId="10" fillId="0" borderId="0" applyBorder="0" applyProtection="0"/>
    <xf numFmtId="0" fontId="11" fillId="22" borderId="0" applyBorder="0" applyProtection="0"/>
    <xf numFmtId="0" fontId="70" fillId="0" borderId="0"/>
    <xf numFmtId="0" fontId="2" fillId="0" borderId="0"/>
    <xf numFmtId="0" fontId="12" fillId="0" borderId="0"/>
    <xf numFmtId="0" fontId="12" fillId="0" borderId="0"/>
    <xf numFmtId="0" fontId="13" fillId="3" borderId="0" applyBorder="0" applyProtection="0"/>
    <xf numFmtId="0" fontId="14" fillId="0" borderId="0" applyBorder="0" applyProtection="0"/>
    <xf numFmtId="0" fontId="70" fillId="23" borderId="5" applyProtection="0"/>
    <xf numFmtId="0" fontId="15" fillId="0" borderId="6" applyProtection="0"/>
    <xf numFmtId="0" fontId="16" fillId="0" borderId="0"/>
    <xf numFmtId="0" fontId="17" fillId="0" borderId="0" applyBorder="0" applyProtection="0"/>
    <xf numFmtId="0" fontId="18" fillId="4" borderId="0" applyBorder="0" applyProtection="0"/>
  </cellStyleXfs>
  <cellXfs count="795">
    <xf numFmtId="0" fontId="0" fillId="0" borderId="0" xfId="0"/>
    <xf numFmtId="0" fontId="12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8" xfId="0" applyBorder="1"/>
    <xf numFmtId="0" fontId="0" fillId="24" borderId="0" xfId="0" applyFill="1"/>
    <xf numFmtId="1" fontId="0" fillId="0" borderId="0" xfId="0" applyNumberFormat="1"/>
    <xf numFmtId="0" fontId="20" fillId="0" borderId="0" xfId="0" applyFont="1"/>
    <xf numFmtId="0" fontId="0" fillId="25" borderId="0" xfId="0" applyFill="1" applyAlignment="1">
      <alignment horizontal="center" vertical="center" wrapText="1"/>
    </xf>
    <xf numFmtId="0" fontId="19" fillId="25" borderId="0" xfId="0" applyFont="1" applyFill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2" fillId="0" borderId="0" xfId="0" applyFont="1"/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24" borderId="0" xfId="0" applyFill="1" applyAlignment="1">
      <alignment horizontal="right"/>
    </xf>
    <xf numFmtId="0" fontId="28" fillId="24" borderId="8" xfId="0" applyFont="1" applyFill="1" applyBorder="1" applyAlignment="1">
      <alignment horizontal="center" vertical="center" wrapText="1"/>
    </xf>
    <xf numFmtId="14" fontId="28" fillId="0" borderId="8" xfId="0" applyNumberFormat="1" applyFont="1" applyBorder="1" applyAlignment="1">
      <alignment horizontal="center" vertical="center" wrapText="1"/>
    </xf>
    <xf numFmtId="49" fontId="29" fillId="26" borderId="8" xfId="0" applyNumberFormat="1" applyFont="1" applyFill="1" applyBorder="1" applyAlignment="1">
      <alignment horizontal="center" vertical="center" wrapText="1"/>
    </xf>
    <xf numFmtId="4" fontId="29" fillId="26" borderId="8" xfId="0" applyNumberFormat="1" applyFont="1" applyFill="1" applyBorder="1" applyAlignment="1">
      <alignment horizontal="center" vertical="center" wrapText="1"/>
    </xf>
    <xf numFmtId="4" fontId="31" fillId="26" borderId="8" xfId="48" applyNumberFormat="1" applyFont="1" applyFill="1" applyBorder="1" applyAlignment="1">
      <alignment horizontal="center" vertical="center"/>
    </xf>
    <xf numFmtId="4" fontId="32" fillId="26" borderId="8" xfId="48" applyNumberFormat="1" applyFont="1" applyFill="1" applyBorder="1" applyAlignment="1">
      <alignment horizontal="center" vertical="center"/>
    </xf>
    <xf numFmtId="4" fontId="32" fillId="24" borderId="8" xfId="48" applyNumberFormat="1" applyFont="1" applyFill="1" applyBorder="1" applyAlignment="1">
      <alignment horizontal="center" vertical="center"/>
    </xf>
    <xf numFmtId="4" fontId="0" fillId="0" borderId="0" xfId="0" applyNumberFormat="1"/>
    <xf numFmtId="4" fontId="20" fillId="0" borderId="0" xfId="0" applyNumberFormat="1" applyFont="1"/>
    <xf numFmtId="49" fontId="33" fillId="27" borderId="8" xfId="0" applyNumberFormat="1" applyFont="1" applyFill="1" applyBorder="1" applyAlignment="1">
      <alignment horizontal="center" vertical="center" wrapText="1"/>
    </xf>
    <xf numFmtId="4" fontId="33" fillId="27" borderId="8" xfId="0" applyNumberFormat="1" applyFont="1" applyFill="1" applyBorder="1" applyAlignment="1">
      <alignment horizontal="center" vertical="center" wrapText="1"/>
    </xf>
    <xf numFmtId="4" fontId="33" fillId="27" borderId="9" xfId="0" applyNumberFormat="1" applyFont="1" applyFill="1" applyBorder="1" applyAlignment="1">
      <alignment horizontal="center" vertical="center" wrapText="1"/>
    </xf>
    <xf numFmtId="4" fontId="24" fillId="27" borderId="9" xfId="48" applyNumberFormat="1" applyFont="1" applyFill="1" applyBorder="1" applyAlignment="1">
      <alignment horizontal="center" vertical="center"/>
    </xf>
    <xf numFmtId="4" fontId="24" fillId="24" borderId="9" xfId="48" applyNumberFormat="1" applyFont="1" applyFill="1" applyBorder="1" applyAlignment="1">
      <alignment horizontal="center" vertical="center"/>
    </xf>
    <xf numFmtId="49" fontId="33" fillId="6" borderId="8" xfId="0" applyNumberFormat="1" applyFont="1" applyFill="1" applyBorder="1" applyAlignment="1">
      <alignment horizontal="center" vertical="center" wrapText="1"/>
    </xf>
    <xf numFmtId="4" fontId="33" fillId="6" borderId="8" xfId="0" applyNumberFormat="1" applyFont="1" applyFill="1" applyBorder="1" applyAlignment="1">
      <alignment horizontal="center" vertical="center" wrapText="1"/>
    </xf>
    <xf numFmtId="4" fontId="25" fillId="6" borderId="8" xfId="48" applyNumberFormat="1" applyFont="1" applyFill="1" applyBorder="1" applyAlignment="1">
      <alignment horizontal="center" vertical="center"/>
    </xf>
    <xf numFmtId="4" fontId="25" fillId="24" borderId="8" xfId="48" applyNumberFormat="1" applyFont="1" applyFill="1" applyBorder="1" applyAlignment="1">
      <alignment horizontal="center" vertical="center"/>
    </xf>
    <xf numFmtId="49" fontId="34" fillId="25" borderId="8" xfId="0" applyNumberFormat="1" applyFont="1" applyFill="1" applyBorder="1" applyAlignment="1">
      <alignment horizontal="center" vertical="center" wrapText="1"/>
    </xf>
    <xf numFmtId="4" fontId="34" fillId="25" borderId="8" xfId="0" applyNumberFormat="1" applyFont="1" applyFill="1" applyBorder="1" applyAlignment="1">
      <alignment horizontal="center" vertical="center" wrapText="1"/>
    </xf>
    <xf numFmtId="4" fontId="28" fillId="0" borderId="8" xfId="48" applyNumberFormat="1" applyFont="1" applyBorder="1" applyAlignment="1">
      <alignment horizontal="center" vertical="center" wrapText="1"/>
    </xf>
    <xf numFmtId="4" fontId="28" fillId="25" borderId="8" xfId="48" applyNumberFormat="1" applyFont="1" applyFill="1" applyBorder="1" applyAlignment="1">
      <alignment horizontal="center" vertical="center" wrapText="1"/>
    </xf>
    <xf numFmtId="4" fontId="28" fillId="25" borderId="8" xfId="0" applyNumberFormat="1" applyFont="1" applyFill="1" applyBorder="1" applyAlignment="1">
      <alignment horizontal="center" vertical="center" wrapText="1"/>
    </xf>
    <xf numFmtId="4" fontId="27" fillId="25" borderId="8" xfId="0" applyNumberFormat="1" applyFont="1" applyFill="1" applyBorder="1" applyAlignment="1">
      <alignment horizontal="center" vertical="center" wrapText="1"/>
    </xf>
    <xf numFmtId="4" fontId="27" fillId="24" borderId="8" xfId="0" applyNumberFormat="1" applyFont="1" applyFill="1" applyBorder="1" applyAlignment="1">
      <alignment horizontal="center" vertical="center" wrapText="1"/>
    </xf>
    <xf numFmtId="4" fontId="36" fillId="0" borderId="0" xfId="0" applyNumberFormat="1" applyFont="1" applyAlignment="1">
      <alignment horizontal="left" wrapText="1"/>
    </xf>
    <xf numFmtId="0" fontId="28" fillId="25" borderId="8" xfId="0" applyFont="1" applyFill="1" applyBorder="1" applyAlignment="1">
      <alignment vertical="center" wrapText="1"/>
    </xf>
    <xf numFmtId="49" fontId="34" fillId="6" borderId="8" xfId="0" applyNumberFormat="1" applyFont="1" applyFill="1" applyBorder="1" applyAlignment="1">
      <alignment horizontal="center" vertical="center" wrapText="1"/>
    </xf>
    <xf numFmtId="4" fontId="34" fillId="6" borderId="8" xfId="0" applyNumberFormat="1" applyFont="1" applyFill="1" applyBorder="1" applyAlignment="1">
      <alignment horizontal="center" vertical="center" wrapText="1"/>
    </xf>
    <xf numFmtId="4" fontId="25" fillId="6" borderId="8" xfId="48" applyNumberFormat="1" applyFont="1" applyFill="1" applyBorder="1" applyAlignment="1">
      <alignment horizontal="center" vertical="center" wrapText="1"/>
    </xf>
    <xf numFmtId="4" fontId="25" fillId="24" borderId="8" xfId="48" applyNumberFormat="1" applyFont="1" applyFill="1" applyBorder="1" applyAlignment="1">
      <alignment horizontal="center" vertical="center" wrapText="1"/>
    </xf>
    <xf numFmtId="4" fontId="25" fillId="6" borderId="8" xfId="0" applyNumberFormat="1" applyFont="1" applyFill="1" applyBorder="1" applyAlignment="1">
      <alignment horizontal="center" vertical="center"/>
    </xf>
    <xf numFmtId="4" fontId="25" fillId="24" borderId="8" xfId="0" applyNumberFormat="1" applyFont="1" applyFill="1" applyBorder="1" applyAlignment="1">
      <alignment horizontal="center" vertical="center"/>
    </xf>
    <xf numFmtId="4" fontId="0" fillId="6" borderId="0" xfId="0" applyNumberFormat="1" applyFill="1"/>
    <xf numFmtId="4" fontId="20" fillId="6" borderId="0" xfId="0" applyNumberFormat="1" applyFont="1" applyFill="1"/>
    <xf numFmtId="0" fontId="20" fillId="6" borderId="0" xfId="0" applyFont="1" applyFill="1"/>
    <xf numFmtId="0" fontId="0" fillId="6" borderId="0" xfId="0" applyFill="1"/>
    <xf numFmtId="4" fontId="28" fillId="0" borderId="8" xfId="0" applyNumberFormat="1" applyFont="1" applyBorder="1" applyAlignment="1">
      <alignment horizontal="center" vertical="center" wrapText="1"/>
    </xf>
    <xf numFmtId="4" fontId="38" fillId="0" borderId="0" xfId="0" applyNumberFormat="1" applyFont="1" applyAlignment="1">
      <alignment horizontal="right" wrapText="1"/>
    </xf>
    <xf numFmtId="49" fontId="39" fillId="25" borderId="8" xfId="0" applyNumberFormat="1" applyFont="1" applyFill="1" applyBorder="1" applyAlignment="1">
      <alignment horizontal="center" vertical="center" wrapText="1"/>
    </xf>
    <xf numFmtId="4" fontId="39" fillId="25" borderId="8" xfId="0" applyNumberFormat="1" applyFont="1" applyFill="1" applyBorder="1" applyAlignment="1">
      <alignment horizontal="center" vertical="center" wrapText="1"/>
    </xf>
    <xf numFmtId="4" fontId="41" fillId="0" borderId="0" xfId="0" applyNumberFormat="1" applyFont="1"/>
    <xf numFmtId="0" fontId="41" fillId="0" borderId="0" xfId="0" applyFont="1"/>
    <xf numFmtId="0" fontId="40" fillId="0" borderId="0" xfId="0" applyFont="1"/>
    <xf numFmtId="49" fontId="42" fillId="6" borderId="8" xfId="0" applyNumberFormat="1" applyFont="1" applyFill="1" applyBorder="1" applyAlignment="1">
      <alignment horizontal="center" vertical="center" wrapText="1"/>
    </xf>
    <xf numFmtId="4" fontId="42" fillId="6" borderId="8" xfId="0" applyNumberFormat="1" applyFont="1" applyFill="1" applyBorder="1" applyAlignment="1">
      <alignment horizontal="center" vertical="center" wrapText="1"/>
    </xf>
    <xf numFmtId="4" fontId="25" fillId="6" borderId="8" xfId="0" applyNumberFormat="1" applyFont="1" applyFill="1" applyBorder="1" applyAlignment="1">
      <alignment horizontal="center" vertical="center" wrapText="1"/>
    </xf>
    <xf numFmtId="4" fontId="25" fillId="24" borderId="8" xfId="0" applyNumberFormat="1" applyFont="1" applyFill="1" applyBorder="1" applyAlignment="1">
      <alignment horizontal="center" vertical="center" wrapText="1"/>
    </xf>
    <xf numFmtId="4" fontId="41" fillId="6" borderId="0" xfId="0" applyNumberFormat="1" applyFont="1" applyFill="1"/>
    <xf numFmtId="4" fontId="43" fillId="6" borderId="0" xfId="0" applyNumberFormat="1" applyFont="1" applyFill="1"/>
    <xf numFmtId="0" fontId="43" fillId="6" borderId="0" xfId="0" applyFont="1" applyFill="1"/>
    <xf numFmtId="0" fontId="44" fillId="6" borderId="0" xfId="0" applyFont="1" applyFill="1"/>
    <xf numFmtId="4" fontId="39" fillId="27" borderId="8" xfId="0" applyNumberFormat="1" applyFont="1" applyFill="1" applyBorder="1" applyAlignment="1">
      <alignment horizontal="center" vertical="center" wrapText="1"/>
    </xf>
    <xf numFmtId="4" fontId="25" fillId="27" borderId="8" xfId="48" applyNumberFormat="1" applyFont="1" applyFill="1" applyBorder="1" applyAlignment="1">
      <alignment horizontal="center" vertical="center" wrapText="1"/>
    </xf>
    <xf numFmtId="4" fontId="24" fillId="27" borderId="8" xfId="0" applyNumberFormat="1" applyFont="1" applyFill="1" applyBorder="1" applyAlignment="1">
      <alignment horizontal="left" vertical="center" wrapText="1"/>
    </xf>
    <xf numFmtId="4" fontId="25" fillId="0" borderId="8" xfId="48" applyNumberFormat="1" applyFont="1" applyBorder="1" applyAlignment="1">
      <alignment horizontal="center" vertical="center" wrapText="1"/>
    </xf>
    <xf numFmtId="4" fontId="41" fillId="27" borderId="0" xfId="0" applyNumberFormat="1" applyFont="1" applyFill="1"/>
    <xf numFmtId="0" fontId="41" fillId="27" borderId="0" xfId="0" applyFont="1" applyFill="1"/>
    <xf numFmtId="0" fontId="40" fillId="27" borderId="0" xfId="0" applyFont="1" applyFill="1"/>
    <xf numFmtId="49" fontId="33" fillId="25" borderId="8" xfId="0" applyNumberFormat="1" applyFont="1" applyFill="1" applyBorder="1" applyAlignment="1">
      <alignment horizontal="center" vertical="center" wrapText="1"/>
    </xf>
    <xf numFmtId="4" fontId="33" fillId="25" borderId="8" xfId="0" applyNumberFormat="1" applyFont="1" applyFill="1" applyBorder="1" applyAlignment="1">
      <alignment horizontal="center" vertical="center" wrapText="1"/>
    </xf>
    <xf numFmtId="4" fontId="25" fillId="25" borderId="8" xfId="48" applyNumberFormat="1" applyFont="1" applyFill="1" applyBorder="1" applyAlignment="1">
      <alignment horizontal="center" vertical="center" wrapText="1"/>
    </xf>
    <xf numFmtId="4" fontId="41" fillId="25" borderId="0" xfId="0" applyNumberFormat="1" applyFont="1" applyFill="1"/>
    <xf numFmtId="0" fontId="41" fillId="25" borderId="0" xfId="0" applyFont="1" applyFill="1"/>
    <xf numFmtId="0" fontId="40" fillId="25" borderId="0" xfId="0" applyFont="1" applyFill="1"/>
    <xf numFmtId="4" fontId="28" fillId="24" borderId="8" xfId="48" applyNumberFormat="1" applyFont="1" applyFill="1" applyBorder="1" applyAlignment="1">
      <alignment horizontal="center" vertical="center" wrapText="1"/>
    </xf>
    <xf numFmtId="3" fontId="28" fillId="25" borderId="8" xfId="0" applyNumberFormat="1" applyFont="1" applyFill="1" applyBorder="1" applyAlignment="1">
      <alignment horizontal="center" vertical="center" wrapText="1"/>
    </xf>
    <xf numFmtId="0" fontId="45" fillId="25" borderId="8" xfId="0" applyFont="1" applyFill="1" applyBorder="1" applyAlignment="1">
      <alignment horizontal="center" vertical="center" wrapText="1"/>
    </xf>
    <xf numFmtId="4" fontId="22" fillId="25" borderId="11" xfId="0" applyNumberFormat="1" applyFont="1" applyFill="1" applyBorder="1" applyAlignment="1">
      <alignment horizontal="center" vertical="center" wrapText="1"/>
    </xf>
    <xf numFmtId="49" fontId="33" fillId="27" borderId="11" xfId="0" applyNumberFormat="1" applyFont="1" applyFill="1" applyBorder="1" applyAlignment="1">
      <alignment horizontal="center" vertical="center" wrapText="1"/>
    </xf>
    <xf numFmtId="4" fontId="33" fillId="27" borderId="11" xfId="0" applyNumberFormat="1" applyFont="1" applyFill="1" applyBorder="1" applyAlignment="1">
      <alignment horizontal="center" vertical="center" wrapText="1"/>
    </xf>
    <xf numFmtId="4" fontId="27" fillId="0" borderId="0" xfId="0" applyNumberFormat="1" applyFont="1" applyAlignment="1">
      <alignment horizontal="right" wrapText="1"/>
    </xf>
    <xf numFmtId="4" fontId="28" fillId="24" borderId="8" xfId="0" applyNumberFormat="1" applyFont="1" applyFill="1" applyBorder="1" applyAlignment="1">
      <alignment horizontal="center" vertical="center" wrapText="1"/>
    </xf>
    <xf numFmtId="4" fontId="41" fillId="0" borderId="0" xfId="0" applyNumberFormat="1" applyFont="1" applyAlignment="1">
      <alignment horizontal="right" wrapText="1"/>
    </xf>
    <xf numFmtId="4" fontId="20" fillId="0" borderId="0" xfId="0" applyNumberFormat="1" applyFont="1" applyAlignment="1">
      <alignment horizontal="right" wrapText="1"/>
    </xf>
    <xf numFmtId="49" fontId="24" fillId="27" borderId="11" xfId="0" applyNumberFormat="1" applyFont="1" applyFill="1" applyBorder="1" applyAlignment="1">
      <alignment horizontal="center" vertical="center" wrapText="1"/>
    </xf>
    <xf numFmtId="4" fontId="24" fillId="27" borderId="11" xfId="0" applyNumberFormat="1" applyFont="1" applyFill="1" applyBorder="1" applyAlignment="1">
      <alignment horizontal="center" vertical="center" wrapText="1"/>
    </xf>
    <xf numFmtId="0" fontId="24" fillId="27" borderId="7" xfId="0" applyFont="1" applyFill="1" applyBorder="1" applyAlignment="1">
      <alignment horizontal="justify" vertical="center" wrapText="1"/>
    </xf>
    <xf numFmtId="4" fontId="25" fillId="27" borderId="8" xfId="0" applyNumberFormat="1" applyFont="1" applyFill="1" applyBorder="1" applyAlignment="1">
      <alignment horizontal="center" vertical="center" wrapText="1"/>
    </xf>
    <xf numFmtId="4" fontId="20" fillId="0" borderId="0" xfId="0" applyNumberFormat="1" applyFont="1" applyAlignment="1">
      <alignment horizontal="center" wrapText="1"/>
    </xf>
    <xf numFmtId="4" fontId="38" fillId="27" borderId="11" xfId="0" applyNumberFormat="1" applyFont="1" applyFill="1" applyBorder="1" applyAlignment="1">
      <alignment horizontal="center" vertical="center" wrapText="1"/>
    </xf>
    <xf numFmtId="4" fontId="38" fillId="27" borderId="8" xfId="0" applyNumberFormat="1" applyFont="1" applyFill="1" applyBorder="1" applyAlignment="1">
      <alignment horizontal="left" vertical="center" wrapText="1"/>
    </xf>
    <xf numFmtId="4" fontId="24" fillId="27" borderId="8" xfId="48" applyNumberFormat="1" applyFont="1" applyFill="1" applyBorder="1" applyAlignment="1">
      <alignment horizontal="center" vertical="center" wrapText="1"/>
    </xf>
    <xf numFmtId="4" fontId="24" fillId="24" borderId="8" xfId="48" applyNumberFormat="1" applyFont="1" applyFill="1" applyBorder="1" applyAlignment="1">
      <alignment horizontal="center" vertical="center" wrapText="1"/>
    </xf>
    <xf numFmtId="4" fontId="47" fillId="0" borderId="0" xfId="0" applyNumberFormat="1" applyFont="1"/>
    <xf numFmtId="0" fontId="47" fillId="0" borderId="0" xfId="0" applyFont="1"/>
    <xf numFmtId="0" fontId="46" fillId="0" borderId="0" xfId="0" applyFont="1"/>
    <xf numFmtId="0" fontId="48" fillId="6" borderId="11" xfId="0" applyFont="1" applyFill="1" applyBorder="1" applyAlignment="1">
      <alignment horizontal="center" vertical="center" wrapText="1"/>
    </xf>
    <xf numFmtId="4" fontId="30" fillId="6" borderId="11" xfId="0" applyNumberFormat="1" applyFont="1" applyFill="1" applyBorder="1" applyAlignment="1">
      <alignment horizontal="center" vertical="center" wrapText="1"/>
    </xf>
    <xf numFmtId="4" fontId="30" fillId="6" borderId="8" xfId="0" applyNumberFormat="1" applyFont="1" applyFill="1" applyBorder="1" applyAlignment="1">
      <alignment horizontal="center" vertical="center" wrapText="1"/>
    </xf>
    <xf numFmtId="4" fontId="30" fillId="24" borderId="8" xfId="0" applyNumberFormat="1" applyFont="1" applyFill="1" applyBorder="1" applyAlignment="1">
      <alignment horizontal="center" vertical="center" wrapText="1"/>
    </xf>
    <xf numFmtId="4" fontId="50" fillId="0" borderId="0" xfId="0" applyNumberFormat="1" applyFont="1"/>
    <xf numFmtId="0" fontId="50" fillId="0" borderId="0" xfId="0" applyFont="1"/>
    <xf numFmtId="0" fontId="49" fillId="0" borderId="0" xfId="0" applyFont="1"/>
    <xf numFmtId="0" fontId="45" fillId="7" borderId="11" xfId="0" applyFont="1" applyFill="1" applyBorder="1" applyAlignment="1">
      <alignment horizontal="center" vertical="center" wrapText="1"/>
    </xf>
    <xf numFmtId="4" fontId="38" fillId="7" borderId="11" xfId="0" applyNumberFormat="1" applyFont="1" applyFill="1" applyBorder="1" applyAlignment="1">
      <alignment horizontal="center" vertical="center" wrapText="1"/>
    </xf>
    <xf numFmtId="4" fontId="27" fillId="7" borderId="11" xfId="0" applyNumberFormat="1" applyFont="1" applyFill="1" applyBorder="1" applyAlignment="1">
      <alignment horizontal="center" vertical="center" wrapText="1"/>
    </xf>
    <xf numFmtId="164" fontId="24" fillId="7" borderId="8" xfId="0" applyNumberFormat="1" applyFont="1" applyFill="1" applyBorder="1" applyAlignment="1">
      <alignment horizontal="left" vertical="center" wrapText="1"/>
    </xf>
    <xf numFmtId="4" fontId="24" fillId="7" borderId="8" xfId="48" applyNumberFormat="1" applyFont="1" applyFill="1" applyBorder="1" applyAlignment="1">
      <alignment horizontal="center" vertical="center" wrapText="1"/>
    </xf>
    <xf numFmtId="0" fontId="45" fillId="25" borderId="11" xfId="0" applyFont="1" applyFill="1" applyBorder="1" applyAlignment="1">
      <alignment horizontal="center" vertical="center" wrapText="1"/>
    </xf>
    <xf numFmtId="4" fontId="38" fillId="25" borderId="11" xfId="0" applyNumberFormat="1" applyFont="1" applyFill="1" applyBorder="1" applyAlignment="1">
      <alignment horizontal="center" vertical="center" wrapText="1"/>
    </xf>
    <xf numFmtId="4" fontId="27" fillId="25" borderId="11" xfId="0" applyNumberFormat="1" applyFont="1" applyFill="1" applyBorder="1" applyAlignment="1">
      <alignment horizontal="center" vertical="center" wrapText="1"/>
    </xf>
    <xf numFmtId="4" fontId="28" fillId="25" borderId="8" xfId="0" applyNumberFormat="1" applyFont="1" applyFill="1" applyBorder="1" applyAlignment="1">
      <alignment horizontal="center" vertical="center"/>
    </xf>
    <xf numFmtId="1" fontId="24" fillId="27" borderId="8" xfId="0" applyNumberFormat="1" applyFont="1" applyFill="1" applyBorder="1" applyAlignment="1">
      <alignment horizontal="center" vertical="center"/>
    </xf>
    <xf numFmtId="4" fontId="0" fillId="27" borderId="8" xfId="0" applyNumberFormat="1" applyFill="1" applyBorder="1"/>
    <xf numFmtId="4" fontId="24" fillId="27" borderId="8" xfId="0" applyNumberFormat="1" applyFont="1" applyFill="1" applyBorder="1" applyAlignment="1">
      <alignment horizontal="center" vertical="center"/>
    </xf>
    <xf numFmtId="4" fontId="24" fillId="24" borderId="8" xfId="0" applyNumberFormat="1" applyFont="1" applyFill="1" applyBorder="1" applyAlignment="1">
      <alignment horizontal="center" vertical="center"/>
    </xf>
    <xf numFmtId="49" fontId="33" fillId="6" borderId="11" xfId="0" applyNumberFormat="1" applyFont="1" applyFill="1" applyBorder="1" applyAlignment="1">
      <alignment horizontal="center" vertical="center" wrapText="1"/>
    </xf>
    <xf numFmtId="4" fontId="24" fillId="6" borderId="8" xfId="0" applyNumberFormat="1" applyFont="1" applyFill="1" applyBorder="1" applyAlignment="1">
      <alignment horizontal="center" vertical="center"/>
    </xf>
    <xf numFmtId="4" fontId="0" fillId="6" borderId="8" xfId="0" applyNumberFormat="1" applyFill="1" applyBorder="1"/>
    <xf numFmtId="4" fontId="25" fillId="0" borderId="9" xfId="48" applyNumberFormat="1" applyFont="1" applyBorder="1" applyAlignment="1">
      <alignment horizontal="center" vertical="center" wrapText="1"/>
    </xf>
    <xf numFmtId="4" fontId="25" fillId="24" borderId="9" xfId="48" applyNumberFormat="1" applyFont="1" applyFill="1" applyBorder="1" applyAlignment="1">
      <alignment horizontal="center" vertical="center" wrapText="1"/>
    </xf>
    <xf numFmtId="4" fontId="28" fillId="0" borderId="9" xfId="48" applyNumberFormat="1" applyFont="1" applyBorder="1" applyAlignment="1">
      <alignment horizontal="center" vertical="center" wrapText="1"/>
    </xf>
    <xf numFmtId="4" fontId="28" fillId="25" borderId="8" xfId="48" applyNumberFormat="1" applyFont="1" applyFill="1" applyBorder="1" applyAlignment="1">
      <alignment horizontal="center" vertical="center"/>
    </xf>
    <xf numFmtId="4" fontId="27" fillId="27" borderId="11" xfId="0" applyNumberFormat="1" applyFont="1" applyFill="1" applyBorder="1" applyAlignment="1">
      <alignment horizontal="center" vertical="center" wrapText="1"/>
    </xf>
    <xf numFmtId="4" fontId="25" fillId="27" borderId="8" xfId="48" applyNumberFormat="1" applyFont="1" applyFill="1" applyBorder="1" applyAlignment="1">
      <alignment horizontal="center" vertical="center"/>
    </xf>
    <xf numFmtId="4" fontId="38" fillId="6" borderId="11" xfId="0" applyNumberFormat="1" applyFont="1" applyFill="1" applyBorder="1" applyAlignment="1">
      <alignment horizontal="center" vertical="center" wrapText="1"/>
    </xf>
    <xf numFmtId="4" fontId="27" fillId="6" borderId="11" xfId="0" applyNumberFormat="1" applyFont="1" applyFill="1" applyBorder="1" applyAlignment="1">
      <alignment horizontal="center" vertical="center" wrapText="1"/>
    </xf>
    <xf numFmtId="4" fontId="28" fillId="6" borderId="8" xfId="48" applyNumberFormat="1" applyFont="1" applyFill="1" applyBorder="1" applyAlignment="1">
      <alignment horizontal="center" vertical="center" wrapText="1"/>
    </xf>
    <xf numFmtId="49" fontId="33" fillId="25" borderId="11" xfId="0" applyNumberFormat="1" applyFont="1" applyFill="1" applyBorder="1" applyAlignment="1">
      <alignment horizontal="center" vertical="center" wrapText="1"/>
    </xf>
    <xf numFmtId="4" fontId="28" fillId="25" borderId="9" xfId="48" applyNumberFormat="1" applyFont="1" applyFill="1" applyBorder="1" applyAlignment="1">
      <alignment horizontal="center" vertical="center" wrapText="1"/>
    </xf>
    <xf numFmtId="4" fontId="0" fillId="25" borderId="0" xfId="0" applyNumberFormat="1" applyFill="1"/>
    <xf numFmtId="4" fontId="20" fillId="25" borderId="0" xfId="0" applyNumberFormat="1" applyFont="1" applyFill="1"/>
    <xf numFmtId="0" fontId="20" fillId="25" borderId="0" xfId="0" applyFont="1" applyFill="1"/>
    <xf numFmtId="0" fontId="0" fillId="25" borderId="0" xfId="0" applyFill="1"/>
    <xf numFmtId="4" fontId="25" fillId="27" borderId="8" xfId="0" applyNumberFormat="1" applyFont="1" applyFill="1" applyBorder="1" applyAlignment="1">
      <alignment horizontal="center" vertical="center"/>
    </xf>
    <xf numFmtId="4" fontId="24" fillId="0" borderId="8" xfId="0" applyNumberFormat="1" applyFont="1" applyBorder="1" applyAlignment="1">
      <alignment horizontal="center" vertical="center"/>
    </xf>
    <xf numFmtId="4" fontId="24" fillId="0" borderId="11" xfId="0" applyNumberFormat="1" applyFont="1" applyBorder="1" applyAlignment="1">
      <alignment horizontal="center" vertical="center"/>
    </xf>
    <xf numFmtId="4" fontId="38" fillId="0" borderId="11" xfId="0" applyNumberFormat="1" applyFont="1" applyBorder="1" applyAlignment="1">
      <alignment horizontal="center" vertical="center" wrapText="1"/>
    </xf>
    <xf numFmtId="4" fontId="27" fillId="0" borderId="11" xfId="0" applyNumberFormat="1" applyFont="1" applyBorder="1" applyAlignment="1">
      <alignment horizontal="center" vertical="center" wrapText="1"/>
    </xf>
    <xf numFmtId="4" fontId="27" fillId="0" borderId="8" xfId="0" applyNumberFormat="1" applyFont="1" applyBorder="1" applyAlignment="1">
      <alignment horizontal="center" vertical="center" wrapText="1"/>
    </xf>
    <xf numFmtId="0" fontId="45" fillId="6" borderId="8" xfId="0" applyFont="1" applyFill="1" applyBorder="1" applyAlignment="1">
      <alignment horizontal="center" vertical="center" wrapText="1"/>
    </xf>
    <xf numFmtId="4" fontId="33" fillId="25" borderId="11" xfId="0" applyNumberFormat="1" applyFont="1" applyFill="1" applyBorder="1" applyAlignment="1">
      <alignment horizontal="center" vertical="center" wrapText="1"/>
    </xf>
    <xf numFmtId="1" fontId="33" fillId="27" borderId="8" xfId="0" applyNumberFormat="1" applyFont="1" applyFill="1" applyBorder="1" applyAlignment="1">
      <alignment horizontal="center" vertical="center" wrapText="1"/>
    </xf>
    <xf numFmtId="4" fontId="39" fillId="6" borderId="8" xfId="0" applyNumberFormat="1" applyFont="1" applyFill="1" applyBorder="1" applyAlignment="1">
      <alignment horizontal="center" vertical="center" wrapText="1"/>
    </xf>
    <xf numFmtId="49" fontId="39" fillId="25" borderId="11" xfId="0" applyNumberFormat="1" applyFont="1" applyFill="1" applyBorder="1" applyAlignment="1">
      <alignment horizontal="center" vertical="center" wrapText="1"/>
    </xf>
    <xf numFmtId="4" fontId="39" fillId="25" borderId="11" xfId="0" applyNumberFormat="1" applyFont="1" applyFill="1" applyBorder="1" applyAlignment="1">
      <alignment horizontal="center" vertical="center" wrapText="1"/>
    </xf>
    <xf numFmtId="4" fontId="30" fillId="27" borderId="11" xfId="0" applyNumberFormat="1" applyFont="1" applyFill="1" applyBorder="1" applyAlignment="1">
      <alignment horizontal="center" vertical="center" wrapText="1"/>
    </xf>
    <xf numFmtId="4" fontId="33" fillId="27" borderId="8" xfId="48" applyNumberFormat="1" applyFont="1" applyFill="1" applyBorder="1" applyAlignment="1">
      <alignment horizontal="center" vertical="center" wrapText="1"/>
    </xf>
    <xf numFmtId="4" fontId="33" fillId="24" borderId="8" xfId="48" applyNumberFormat="1" applyFont="1" applyFill="1" applyBorder="1" applyAlignment="1">
      <alignment horizontal="center" vertical="center" wrapText="1"/>
    </xf>
    <xf numFmtId="4" fontId="30" fillId="6" borderId="8" xfId="48" applyNumberFormat="1" applyFont="1" applyFill="1" applyBorder="1" applyAlignment="1">
      <alignment horizontal="center" vertical="center" wrapText="1"/>
    </xf>
    <xf numFmtId="4" fontId="30" fillId="24" borderId="8" xfId="48" applyNumberFormat="1" applyFont="1" applyFill="1" applyBorder="1" applyAlignment="1">
      <alignment horizontal="center" vertical="center" wrapText="1"/>
    </xf>
    <xf numFmtId="4" fontId="0" fillId="0" borderId="8" xfId="0" applyNumberFormat="1" applyBorder="1"/>
    <xf numFmtId="4" fontId="38" fillId="25" borderId="8" xfId="0" applyNumberFormat="1" applyFont="1" applyFill="1" applyBorder="1" applyAlignment="1">
      <alignment horizontal="center" vertical="center" wrapText="1"/>
    </xf>
    <xf numFmtId="4" fontId="38" fillId="0" borderId="8" xfId="0" applyNumberFormat="1" applyFont="1" applyBorder="1" applyAlignment="1">
      <alignment horizontal="center" vertical="center" wrapText="1"/>
    </xf>
    <xf numFmtId="4" fontId="24" fillId="25" borderId="11" xfId="0" applyNumberFormat="1" applyFont="1" applyFill="1" applyBorder="1" applyAlignment="1">
      <alignment horizontal="center" vertical="center" wrapText="1"/>
    </xf>
    <xf numFmtId="4" fontId="37" fillId="25" borderId="11" xfId="0" applyNumberFormat="1" applyFont="1" applyFill="1" applyBorder="1" applyAlignment="1">
      <alignment horizontal="center" vertical="center" wrapText="1"/>
    </xf>
    <xf numFmtId="4" fontId="33" fillId="0" borderId="11" xfId="0" applyNumberFormat="1" applyFont="1" applyBorder="1" applyAlignment="1">
      <alignment horizontal="center" vertical="center" wrapText="1"/>
    </xf>
    <xf numFmtId="1" fontId="38" fillId="27" borderId="8" xfId="0" applyNumberFormat="1" applyFont="1" applyFill="1" applyBorder="1" applyAlignment="1">
      <alignment horizontal="center" vertical="center" wrapText="1"/>
    </xf>
    <xf numFmtId="0" fontId="0" fillId="6" borderId="8" xfId="0" applyFill="1" applyBorder="1"/>
    <xf numFmtId="1" fontId="0" fillId="6" borderId="8" xfId="0" applyNumberFormat="1" applyFill="1" applyBorder="1"/>
    <xf numFmtId="1" fontId="38" fillId="6" borderId="8" xfId="0" applyNumberFormat="1" applyFont="1" applyFill="1" applyBorder="1" applyAlignment="1">
      <alignment horizontal="center" vertical="center" wrapText="1"/>
    </xf>
    <xf numFmtId="1" fontId="33" fillId="0" borderId="8" xfId="0" applyNumberFormat="1" applyFont="1" applyBorder="1" applyAlignment="1">
      <alignment horizontal="center" vertical="center" wrapText="1"/>
    </xf>
    <xf numFmtId="1" fontId="38" fillId="0" borderId="8" xfId="0" applyNumberFormat="1" applyFont="1" applyBorder="1" applyAlignment="1">
      <alignment horizontal="center" vertical="center" wrapText="1"/>
    </xf>
    <xf numFmtId="1" fontId="0" fillId="6" borderId="0" xfId="0" applyNumberFormat="1" applyFill="1" applyAlignment="1">
      <alignment horizontal="center" vertical="center" wrapText="1"/>
    </xf>
    <xf numFmtId="1" fontId="38" fillId="6" borderId="11" xfId="0" applyNumberFormat="1" applyFont="1" applyFill="1" applyBorder="1" applyAlignment="1">
      <alignment horizontal="center" vertical="center" wrapText="1"/>
    </xf>
    <xf numFmtId="1" fontId="33" fillId="25" borderId="8" xfId="0" applyNumberFormat="1" applyFont="1" applyFill="1" applyBorder="1" applyAlignment="1">
      <alignment horizontal="center" vertical="center" wrapText="1"/>
    </xf>
    <xf numFmtId="1" fontId="38" fillId="25" borderId="11" xfId="0" applyNumberFormat="1" applyFont="1" applyFill="1" applyBorder="1" applyAlignment="1">
      <alignment horizontal="center" vertical="center" wrapText="1"/>
    </xf>
    <xf numFmtId="1" fontId="25" fillId="27" borderId="8" xfId="0" applyNumberFormat="1" applyFont="1" applyFill="1" applyBorder="1" applyAlignment="1">
      <alignment horizontal="center" vertical="center"/>
    </xf>
    <xf numFmtId="1" fontId="28" fillId="6" borderId="8" xfId="0" applyNumberFormat="1" applyFont="1" applyFill="1" applyBorder="1" applyAlignment="1">
      <alignment horizontal="center" vertical="center"/>
    </xf>
    <xf numFmtId="1" fontId="0" fillId="25" borderId="8" xfId="0" applyNumberFormat="1" applyFill="1" applyBorder="1"/>
    <xf numFmtId="1" fontId="38" fillId="25" borderId="8" xfId="0" applyNumberFormat="1" applyFont="1" applyFill="1" applyBorder="1" applyAlignment="1">
      <alignment horizontal="center" vertical="center" wrapText="1"/>
    </xf>
    <xf numFmtId="1" fontId="25" fillId="25" borderId="8" xfId="0" applyNumberFormat="1" applyFont="1" applyFill="1" applyBorder="1" applyAlignment="1">
      <alignment horizontal="center" vertical="center"/>
    </xf>
    <xf numFmtId="4" fontId="25" fillId="25" borderId="8" xfId="0" applyNumberFormat="1" applyFont="1" applyFill="1" applyBorder="1" applyAlignment="1">
      <alignment horizontal="center" vertical="center" wrapText="1"/>
    </xf>
    <xf numFmtId="4" fontId="51" fillId="0" borderId="8" xfId="0" applyNumberFormat="1" applyFont="1" applyBorder="1" applyAlignment="1">
      <alignment horizontal="center" vertical="center" wrapText="1"/>
    </xf>
    <xf numFmtId="4" fontId="51" fillId="24" borderId="8" xfId="0" applyNumberFormat="1" applyFont="1" applyFill="1" applyBorder="1" applyAlignment="1">
      <alignment horizontal="center" vertical="center" wrapText="1"/>
    </xf>
    <xf numFmtId="4" fontId="52" fillId="25" borderId="8" xfId="0" applyNumberFormat="1" applyFont="1" applyFill="1" applyBorder="1" applyAlignment="1">
      <alignment horizontal="center" vertical="center" wrapText="1"/>
    </xf>
    <xf numFmtId="1" fontId="38" fillId="27" borderId="11" xfId="0" applyNumberFormat="1" applyFont="1" applyFill="1" applyBorder="1" applyAlignment="1">
      <alignment horizontal="center" vertical="center" wrapText="1"/>
    </xf>
    <xf numFmtId="1" fontId="45" fillId="6" borderId="8" xfId="0" applyNumberFormat="1" applyFont="1" applyFill="1" applyBorder="1" applyAlignment="1">
      <alignment horizontal="center" vertical="center" wrapText="1"/>
    </xf>
    <xf numFmtId="1" fontId="33" fillId="6" borderId="8" xfId="0" applyNumberFormat="1" applyFont="1" applyFill="1" applyBorder="1" applyAlignment="1">
      <alignment horizontal="center" vertical="center" wrapText="1"/>
    </xf>
    <xf numFmtId="1" fontId="45" fillId="25" borderId="8" xfId="0" applyNumberFormat="1" applyFont="1" applyFill="1" applyBorder="1" applyAlignment="1">
      <alignment horizontal="center" vertical="center" wrapText="1"/>
    </xf>
    <xf numFmtId="1" fontId="0" fillId="0" borderId="8" xfId="0" applyNumberFormat="1" applyBorder="1"/>
    <xf numFmtId="4" fontId="27" fillId="0" borderId="8" xfId="48" applyNumberFormat="1" applyFont="1" applyBorder="1" applyAlignment="1">
      <alignment horizontal="center" vertical="center" wrapText="1"/>
    </xf>
    <xf numFmtId="4" fontId="28" fillId="25" borderId="11" xfId="0" applyNumberFormat="1" applyFont="1" applyFill="1" applyBorder="1" applyAlignment="1">
      <alignment horizontal="center" vertical="center" wrapText="1"/>
    </xf>
    <xf numFmtId="4" fontId="28" fillId="25" borderId="11" xfId="48" applyNumberFormat="1" applyFont="1" applyFill="1" applyBorder="1" applyAlignment="1">
      <alignment horizontal="center" vertical="center" wrapText="1"/>
    </xf>
    <xf numFmtId="4" fontId="28" fillId="24" borderId="11" xfId="0" applyNumberFormat="1" applyFont="1" applyFill="1" applyBorder="1" applyAlignment="1">
      <alignment horizontal="center" vertical="center" wrapText="1"/>
    </xf>
    <xf numFmtId="4" fontId="25" fillId="6" borderId="11" xfId="0" applyNumberFormat="1" applyFont="1" applyFill="1" applyBorder="1" applyAlignment="1">
      <alignment horizontal="center" vertical="center" wrapText="1"/>
    </xf>
    <xf numFmtId="4" fontId="28" fillId="0" borderId="11" xfId="0" applyNumberFormat="1" applyFont="1" applyBorder="1" applyAlignment="1">
      <alignment horizontal="center" vertical="center"/>
    </xf>
    <xf numFmtId="1" fontId="45" fillId="25" borderId="9" xfId="0" applyNumberFormat="1" applyFont="1" applyFill="1" applyBorder="1" applyAlignment="1">
      <alignment horizontal="center" vertical="center" wrapText="1"/>
    </xf>
    <xf numFmtId="1" fontId="22" fillId="25" borderId="8" xfId="0" applyNumberFormat="1" applyFont="1" applyFill="1" applyBorder="1" applyAlignment="1">
      <alignment horizontal="center" vertical="center" wrapText="1"/>
    </xf>
    <xf numFmtId="1" fontId="22" fillId="25" borderId="9" xfId="0" applyNumberFormat="1" applyFont="1" applyFill="1" applyBorder="1" applyAlignment="1">
      <alignment horizontal="center" vertical="center" wrapText="1"/>
    </xf>
    <xf numFmtId="1" fontId="29" fillId="26" borderId="9" xfId="0" applyNumberFormat="1" applyFont="1" applyFill="1" applyBorder="1" applyAlignment="1">
      <alignment horizontal="center" vertical="center" wrapText="1"/>
    </xf>
    <xf numFmtId="1" fontId="0" fillId="26" borderId="8" xfId="0" applyNumberFormat="1" applyFill="1" applyBorder="1"/>
    <xf numFmtId="1" fontId="30" fillId="26" borderId="9" xfId="0" applyNumberFormat="1" applyFont="1" applyFill="1" applyBorder="1" applyAlignment="1">
      <alignment horizontal="center" vertical="center" wrapText="1"/>
    </xf>
    <xf numFmtId="4" fontId="33" fillId="26" borderId="8" xfId="0" applyNumberFormat="1" applyFont="1" applyFill="1" applyBorder="1" applyAlignment="1">
      <alignment horizontal="left" vertical="center" wrapText="1"/>
    </xf>
    <xf numFmtId="4" fontId="53" fillId="26" borderId="8" xfId="0" applyNumberFormat="1" applyFont="1" applyFill="1" applyBorder="1" applyAlignment="1">
      <alignment horizontal="center" vertical="center" wrapText="1"/>
    </xf>
    <xf numFmtId="4" fontId="53" fillId="24" borderId="8" xfId="0" applyNumberFormat="1" applyFont="1" applyFill="1" applyBorder="1" applyAlignment="1">
      <alignment horizontal="center" vertical="center" wrapText="1"/>
    </xf>
    <xf numFmtId="1" fontId="30" fillId="27" borderId="8" xfId="0" applyNumberFormat="1" applyFont="1" applyFill="1" applyBorder="1" applyAlignment="1">
      <alignment horizontal="center" vertical="center"/>
    </xf>
    <xf numFmtId="1" fontId="45" fillId="27" borderId="8" xfId="0" applyNumberFormat="1" applyFont="1" applyFill="1" applyBorder="1" applyAlignment="1">
      <alignment horizontal="center" vertical="center"/>
    </xf>
    <xf numFmtId="1" fontId="30" fillId="27" borderId="8" xfId="0" applyNumberFormat="1" applyFont="1" applyFill="1" applyBorder="1" applyAlignment="1">
      <alignment horizontal="center" vertical="center" wrapText="1"/>
    </xf>
    <xf numFmtId="4" fontId="33" fillId="27" borderId="8" xfId="0" applyNumberFormat="1" applyFont="1" applyFill="1" applyBorder="1" applyAlignment="1">
      <alignment horizontal="left" vertical="center" wrapText="1"/>
    </xf>
    <xf numFmtId="4" fontId="24" fillId="27" borderId="8" xfId="0" applyNumberFormat="1" applyFont="1" applyFill="1" applyBorder="1" applyAlignment="1">
      <alignment horizontal="center" vertical="center" wrapText="1"/>
    </xf>
    <xf numFmtId="4" fontId="33" fillId="24" borderId="8" xfId="0" applyNumberFormat="1" applyFont="1" applyFill="1" applyBorder="1" applyAlignment="1">
      <alignment horizontal="center" vertical="center" wrapText="1"/>
    </xf>
    <xf numFmtId="1" fontId="30" fillId="6" borderId="8" xfId="0" applyNumberFormat="1" applyFont="1" applyFill="1" applyBorder="1" applyAlignment="1">
      <alignment horizontal="center" vertical="center"/>
    </xf>
    <xf numFmtId="1" fontId="30" fillId="6" borderId="8" xfId="0" applyNumberFormat="1" applyFont="1" applyFill="1" applyBorder="1" applyAlignment="1">
      <alignment horizontal="center" vertical="center" wrapText="1"/>
    </xf>
    <xf numFmtId="1" fontId="30" fillId="25" borderId="8" xfId="0" applyNumberFormat="1" applyFont="1" applyFill="1" applyBorder="1" applyAlignment="1">
      <alignment horizontal="center" vertical="center" wrapText="1"/>
    </xf>
    <xf numFmtId="1" fontId="30" fillId="25" borderId="8" xfId="0" applyNumberFormat="1" applyFont="1" applyFill="1" applyBorder="1" applyAlignment="1">
      <alignment horizontal="center" vertical="center"/>
    </xf>
    <xf numFmtId="1" fontId="27" fillId="0" borderId="8" xfId="0" applyNumberFormat="1" applyFont="1" applyBorder="1" applyAlignment="1">
      <alignment horizontal="center" vertical="center" wrapText="1"/>
    </xf>
    <xf numFmtId="4" fontId="28" fillId="0" borderId="11" xfId="48" applyNumberFormat="1" applyFont="1" applyBorder="1" applyAlignment="1">
      <alignment horizontal="center" vertical="center" wrapText="1"/>
    </xf>
    <xf numFmtId="1" fontId="27" fillId="27" borderId="8" xfId="0" applyNumberFormat="1" applyFont="1" applyFill="1" applyBorder="1" applyAlignment="1">
      <alignment horizontal="center" vertical="center" wrapText="1"/>
    </xf>
    <xf numFmtId="4" fontId="24" fillId="27" borderId="11" xfId="48" applyNumberFormat="1" applyFont="1" applyFill="1" applyBorder="1" applyAlignment="1">
      <alignment horizontal="center" vertical="center" wrapText="1"/>
    </xf>
    <xf numFmtId="4" fontId="24" fillId="24" borderId="11" xfId="48" applyNumberFormat="1" applyFont="1" applyFill="1" applyBorder="1" applyAlignment="1">
      <alignment horizontal="center" vertical="center" wrapText="1"/>
    </xf>
    <xf numFmtId="1" fontId="27" fillId="6" borderId="8" xfId="0" applyNumberFormat="1" applyFont="1" applyFill="1" applyBorder="1" applyAlignment="1">
      <alignment horizontal="center" vertical="center" wrapText="1"/>
    </xf>
    <xf numFmtId="4" fontId="25" fillId="6" borderId="11" xfId="48" applyNumberFormat="1" applyFont="1" applyFill="1" applyBorder="1" applyAlignment="1">
      <alignment horizontal="center" vertical="center" wrapText="1"/>
    </xf>
    <xf numFmtId="4" fontId="25" fillId="24" borderId="11" xfId="48" applyNumberFormat="1" applyFont="1" applyFill="1" applyBorder="1" applyAlignment="1">
      <alignment horizontal="center" vertical="center" wrapText="1"/>
    </xf>
    <xf numFmtId="4" fontId="28" fillId="0" borderId="12" xfId="48" applyNumberFormat="1" applyFont="1" applyBorder="1" applyAlignment="1">
      <alignment horizontal="center" vertical="center" wrapText="1"/>
    </xf>
    <xf numFmtId="4" fontId="28" fillId="25" borderId="12" xfId="48" applyNumberFormat="1" applyFont="1" applyFill="1" applyBorder="1" applyAlignment="1">
      <alignment horizontal="center" vertical="center" wrapText="1"/>
    </xf>
    <xf numFmtId="4" fontId="28" fillId="25" borderId="12" xfId="0" applyNumberFormat="1" applyFont="1" applyFill="1" applyBorder="1" applyAlignment="1">
      <alignment horizontal="center" vertical="center" wrapText="1"/>
    </xf>
    <xf numFmtId="4" fontId="25" fillId="6" borderId="12" xfId="48" applyNumberFormat="1" applyFont="1" applyFill="1" applyBorder="1" applyAlignment="1">
      <alignment horizontal="center" vertical="center" wrapText="1"/>
    </xf>
    <xf numFmtId="4" fontId="27" fillId="25" borderId="8" xfId="48" applyNumberFormat="1" applyFont="1" applyFill="1" applyBorder="1" applyAlignment="1">
      <alignment horizontal="center" vertical="center" wrapText="1"/>
    </xf>
    <xf numFmtId="4" fontId="27" fillId="0" borderId="12" xfId="0" applyNumberFormat="1" applyFont="1" applyBorder="1" applyAlignment="1">
      <alignment horizontal="center" vertical="center" wrapText="1"/>
    </xf>
    <xf numFmtId="3" fontId="28" fillId="25" borderId="12" xfId="48" applyNumberFormat="1" applyFont="1" applyFill="1" applyBorder="1" applyAlignment="1">
      <alignment horizontal="center" vertical="center" wrapText="1"/>
    </xf>
    <xf numFmtId="3" fontId="25" fillId="6" borderId="12" xfId="48" applyNumberFormat="1" applyFont="1" applyFill="1" applyBorder="1" applyAlignment="1">
      <alignment horizontal="center" vertical="center" wrapText="1"/>
    </xf>
    <xf numFmtId="4" fontId="27" fillId="25" borderId="12" xfId="0" applyNumberFormat="1" applyFont="1" applyFill="1" applyBorder="1" applyAlignment="1">
      <alignment horizontal="center" vertical="center" wrapText="1"/>
    </xf>
    <xf numFmtId="49" fontId="30" fillId="27" borderId="8" xfId="0" applyNumberFormat="1" applyFont="1" applyFill="1" applyBorder="1" applyAlignment="1">
      <alignment horizontal="center" vertical="center" wrapText="1"/>
    </xf>
    <xf numFmtId="4" fontId="0" fillId="26" borderId="0" xfId="0" applyNumberFormat="1" applyFill="1"/>
    <xf numFmtId="4" fontId="20" fillId="26" borderId="0" xfId="0" applyNumberFormat="1" applyFont="1" applyFill="1"/>
    <xf numFmtId="0" fontId="20" fillId="26" borderId="0" xfId="0" applyFont="1" applyFill="1"/>
    <xf numFmtId="0" fontId="0" fillId="26" borderId="0" xfId="0" applyFill="1"/>
    <xf numFmtId="3" fontId="28" fillId="6" borderId="8" xfId="48" applyNumberFormat="1" applyFont="1" applyFill="1" applyBorder="1" applyAlignment="1">
      <alignment horizontal="center" vertical="center" wrapText="1"/>
    </xf>
    <xf numFmtId="3" fontId="28" fillId="0" borderId="8" xfId="48" applyNumberFormat="1" applyFont="1" applyBorder="1" applyAlignment="1">
      <alignment horizontal="center" vertical="center" wrapText="1"/>
    </xf>
    <xf numFmtId="1" fontId="27" fillId="25" borderId="8" xfId="0" applyNumberFormat="1" applyFont="1" applyFill="1" applyBorder="1" applyAlignment="1">
      <alignment horizontal="center" vertical="center" wrapText="1"/>
    </xf>
    <xf numFmtId="4" fontId="25" fillId="25" borderId="11" xfId="48" applyNumberFormat="1" applyFont="1" applyFill="1" applyBorder="1" applyAlignment="1">
      <alignment horizontal="center" vertical="center" wrapText="1"/>
    </xf>
    <xf numFmtId="1" fontId="29" fillId="26" borderId="8" xfId="0" applyNumberFormat="1" applyFont="1" applyFill="1" applyBorder="1" applyAlignment="1">
      <alignment horizontal="center" vertical="center" wrapText="1"/>
    </xf>
    <xf numFmtId="1" fontId="27" fillId="26" borderId="8" xfId="0" applyNumberFormat="1" applyFont="1" applyFill="1" applyBorder="1"/>
    <xf numFmtId="1" fontId="30" fillId="26" borderId="8" xfId="0" applyNumberFormat="1" applyFont="1" applyFill="1" applyBorder="1" applyAlignment="1">
      <alignment horizontal="center" vertical="center" wrapText="1"/>
    </xf>
    <xf numFmtId="0" fontId="55" fillId="26" borderId="8" xfId="0" applyFont="1" applyFill="1" applyBorder="1" applyAlignment="1">
      <alignment horizontal="left" vertical="center" wrapText="1"/>
    </xf>
    <xf numFmtId="4" fontId="48" fillId="26" borderId="8" xfId="48" applyNumberFormat="1" applyFont="1" applyFill="1" applyBorder="1" applyAlignment="1">
      <alignment horizontal="center" vertical="center" wrapText="1"/>
    </xf>
    <xf numFmtId="49" fontId="30" fillId="27" borderId="8" xfId="0" applyNumberFormat="1" applyFont="1" applyFill="1" applyBorder="1" applyAlignment="1">
      <alignment horizontal="center" vertical="center"/>
    </xf>
    <xf numFmtId="4" fontId="0" fillId="27" borderId="0" xfId="0" applyNumberFormat="1" applyFill="1"/>
    <xf numFmtId="4" fontId="20" fillId="27" borderId="0" xfId="0" applyNumberFormat="1" applyFont="1" applyFill="1"/>
    <xf numFmtId="0" fontId="20" fillId="27" borderId="0" xfId="0" applyFont="1" applyFill="1"/>
    <xf numFmtId="0" fontId="0" fillId="27" borderId="0" xfId="0" applyFill="1"/>
    <xf numFmtId="1" fontId="42" fillId="26" borderId="8" xfId="0" applyNumberFormat="1" applyFont="1" applyFill="1" applyBorder="1" applyAlignment="1">
      <alignment horizontal="center" vertical="center" wrapText="1"/>
    </xf>
    <xf numFmtId="4" fontId="48" fillId="26" borderId="8" xfId="0" applyNumberFormat="1" applyFont="1" applyFill="1" applyBorder="1" applyAlignment="1">
      <alignment horizontal="center" vertical="center"/>
    </xf>
    <xf numFmtId="4" fontId="48" fillId="24" borderId="8" xfId="0" applyNumberFormat="1" applyFont="1" applyFill="1" applyBorder="1" applyAlignment="1">
      <alignment horizontal="center" vertical="center"/>
    </xf>
    <xf numFmtId="1" fontId="39" fillId="27" borderId="8" xfId="0" applyNumberFormat="1" applyFont="1" applyFill="1" applyBorder="1" applyAlignment="1">
      <alignment horizontal="center" vertical="center" wrapText="1"/>
    </xf>
    <xf numFmtId="1" fontId="25" fillId="6" borderId="8" xfId="0" applyNumberFormat="1" applyFont="1" applyFill="1" applyBorder="1" applyAlignment="1">
      <alignment horizontal="center" vertical="center"/>
    </xf>
    <xf numFmtId="1" fontId="39" fillId="6" borderId="8" xfId="0" applyNumberFormat="1" applyFont="1" applyFill="1" applyBorder="1" applyAlignment="1">
      <alignment horizontal="center" vertical="center" wrapText="1"/>
    </xf>
    <xf numFmtId="1" fontId="0" fillId="0" borderId="8" xfId="0" applyNumberFormat="1" applyBorder="1" applyAlignment="1">
      <alignment vertical="center"/>
    </xf>
    <xf numFmtId="1" fontId="25" fillId="25" borderId="8" xfId="0" applyNumberFormat="1" applyFont="1" applyFill="1" applyBorder="1" applyAlignment="1">
      <alignment horizontal="center" vertical="center" wrapText="1"/>
    </xf>
    <xf numFmtId="4" fontId="20" fillId="3" borderId="0" xfId="0" applyNumberFormat="1" applyFont="1" applyFill="1"/>
    <xf numFmtId="0" fontId="20" fillId="3" borderId="0" xfId="0" applyFont="1" applyFill="1"/>
    <xf numFmtId="0" fontId="0" fillId="3" borderId="0" xfId="0" applyFill="1"/>
    <xf numFmtId="4" fontId="30" fillId="25" borderId="8" xfId="0" applyNumberFormat="1" applyFont="1" applyFill="1" applyBorder="1" applyAlignment="1">
      <alignment horizontal="center" vertical="center" wrapText="1"/>
    </xf>
    <xf numFmtId="4" fontId="28" fillId="6" borderId="11" xfId="0" applyNumberFormat="1" applyFont="1" applyFill="1" applyBorder="1" applyAlignment="1">
      <alignment horizontal="center" vertical="center" wrapText="1"/>
    </xf>
    <xf numFmtId="4" fontId="27" fillId="24" borderId="11" xfId="0" applyNumberFormat="1" applyFont="1" applyFill="1" applyBorder="1" applyAlignment="1">
      <alignment horizontal="center" vertical="center" wrapText="1"/>
    </xf>
    <xf numFmtId="4" fontId="24" fillId="6" borderId="11" xfId="48" applyNumberFormat="1" applyFont="1" applyFill="1" applyBorder="1" applyAlignment="1">
      <alignment horizontal="center" vertical="center" wrapText="1"/>
    </xf>
    <xf numFmtId="4" fontId="28" fillId="24" borderId="11" xfId="48" applyNumberFormat="1" applyFont="1" applyFill="1" applyBorder="1" applyAlignment="1">
      <alignment horizontal="center" vertical="center" wrapText="1"/>
    </xf>
    <xf numFmtId="4" fontId="24" fillId="25" borderId="11" xfId="48" applyNumberFormat="1" applyFont="1" applyFill="1" applyBorder="1" applyAlignment="1">
      <alignment horizontal="center" vertical="center" wrapText="1"/>
    </xf>
    <xf numFmtId="1" fontId="0" fillId="25" borderId="9" xfId="0" applyNumberFormat="1" applyFill="1" applyBorder="1"/>
    <xf numFmtId="1" fontId="30" fillId="25" borderId="9" xfId="0" applyNumberFormat="1" applyFont="1" applyFill="1" applyBorder="1" applyAlignment="1">
      <alignment horizontal="center" vertical="center" wrapText="1"/>
    </xf>
    <xf numFmtId="4" fontId="27" fillId="25" borderId="9" xfId="48" applyNumberFormat="1" applyFont="1" applyFill="1" applyBorder="1" applyAlignment="1">
      <alignment horizontal="center" vertical="center" wrapText="1"/>
    </xf>
    <xf numFmtId="4" fontId="28" fillId="25" borderId="9" xfId="0" applyNumberFormat="1" applyFont="1" applyFill="1" applyBorder="1" applyAlignment="1">
      <alignment horizontal="center" vertical="center" wrapText="1"/>
    </xf>
    <xf numFmtId="4" fontId="28" fillId="24" borderId="9" xfId="0" applyNumberFormat="1" applyFont="1" applyFill="1" applyBorder="1" applyAlignment="1">
      <alignment horizontal="center" vertical="center" wrapText="1"/>
    </xf>
    <xf numFmtId="4" fontId="30" fillId="27" borderId="8" xfId="48" applyNumberFormat="1" applyFont="1" applyFill="1" applyBorder="1" applyAlignment="1">
      <alignment horizontal="center" vertical="center" wrapText="1"/>
    </xf>
    <xf numFmtId="4" fontId="33" fillId="26" borderId="8" xfId="0" applyNumberFormat="1" applyFont="1" applyFill="1" applyBorder="1" applyAlignment="1">
      <alignment horizontal="center" vertical="center" wrapText="1"/>
    </xf>
    <xf numFmtId="4" fontId="48" fillId="26" borderId="8" xfId="0" applyNumberFormat="1" applyFont="1" applyFill="1" applyBorder="1" applyAlignment="1">
      <alignment horizontal="center" vertical="center" wrapText="1"/>
    </xf>
    <xf numFmtId="4" fontId="24" fillId="24" borderId="8" xfId="0" applyNumberFormat="1" applyFont="1" applyFill="1" applyBorder="1" applyAlignment="1">
      <alignment horizontal="center" vertical="center" wrapText="1"/>
    </xf>
    <xf numFmtId="1" fontId="24" fillId="25" borderId="8" xfId="0" applyNumberFormat="1" applyFont="1" applyFill="1" applyBorder="1" applyAlignment="1">
      <alignment horizontal="center" vertical="center"/>
    </xf>
    <xf numFmtId="4" fontId="33" fillId="25" borderId="8" xfId="0" applyNumberFormat="1" applyFont="1" applyFill="1" applyBorder="1" applyAlignment="1">
      <alignment horizontal="left" vertical="center" wrapText="1"/>
    </xf>
    <xf numFmtId="4" fontId="24" fillId="25" borderId="8" xfId="0" applyNumberFormat="1" applyFont="1" applyFill="1" applyBorder="1" applyAlignment="1">
      <alignment horizontal="center" vertical="center" wrapText="1"/>
    </xf>
    <xf numFmtId="4" fontId="30" fillId="6" borderId="8" xfId="53" applyNumberFormat="1" applyFont="1" applyFill="1" applyBorder="1" applyAlignment="1">
      <alignment horizontal="center" vertical="center" wrapText="1"/>
    </xf>
    <xf numFmtId="4" fontId="25" fillId="6" borderId="8" xfId="53" applyNumberFormat="1" applyFont="1" applyFill="1" applyBorder="1" applyAlignment="1">
      <alignment horizontal="center" vertical="center" wrapText="1"/>
    </xf>
    <xf numFmtId="4" fontId="25" fillId="24" borderId="8" xfId="53" applyNumberFormat="1" applyFont="1" applyFill="1" applyBorder="1" applyAlignment="1">
      <alignment horizontal="center" vertical="center" wrapText="1"/>
    </xf>
    <xf numFmtId="4" fontId="28" fillId="25" borderId="8" xfId="0" applyNumberFormat="1" applyFont="1" applyFill="1" applyBorder="1" applyAlignment="1">
      <alignment horizontal="center" wrapText="1"/>
    </xf>
    <xf numFmtId="1" fontId="55" fillId="26" borderId="8" xfId="0" applyNumberFormat="1" applyFont="1" applyFill="1" applyBorder="1" applyAlignment="1">
      <alignment horizontal="center" vertical="center" wrapText="1"/>
    </xf>
    <xf numFmtId="1" fontId="46" fillId="26" borderId="8" xfId="0" applyNumberFormat="1" applyFont="1" applyFill="1" applyBorder="1"/>
    <xf numFmtId="1" fontId="24" fillId="26" borderId="8" xfId="0" applyNumberFormat="1" applyFont="1" applyFill="1" applyBorder="1" applyAlignment="1">
      <alignment horizontal="center" vertical="center" wrapText="1"/>
    </xf>
    <xf numFmtId="4" fontId="24" fillId="26" borderId="8" xfId="0" applyNumberFormat="1" applyFont="1" applyFill="1" applyBorder="1" applyAlignment="1">
      <alignment horizontal="left" vertical="center" wrapText="1"/>
    </xf>
    <xf numFmtId="4" fontId="24" fillId="26" borderId="8" xfId="53" applyNumberFormat="1" applyFont="1" applyFill="1" applyBorder="1" applyAlignment="1">
      <alignment horizontal="center" vertical="center" wrapText="1"/>
    </xf>
    <xf numFmtId="4" fontId="24" fillId="24" borderId="8" xfId="53" applyNumberFormat="1" applyFont="1" applyFill="1" applyBorder="1" applyAlignment="1">
      <alignment horizontal="center" vertical="center" wrapText="1"/>
    </xf>
    <xf numFmtId="0" fontId="17" fillId="26" borderId="0" xfId="0" applyFont="1" applyFill="1"/>
    <xf numFmtId="1" fontId="40" fillId="6" borderId="8" xfId="0" applyNumberFormat="1" applyFont="1" applyFill="1" applyBorder="1"/>
    <xf numFmtId="4" fontId="27" fillId="6" borderId="0" xfId="0" applyNumberFormat="1" applyFont="1" applyFill="1"/>
    <xf numFmtId="4" fontId="24" fillId="6" borderId="8" xfId="0" applyNumberFormat="1" applyFont="1" applyFill="1" applyBorder="1" applyAlignment="1">
      <alignment horizontal="center" vertical="center" wrapText="1"/>
    </xf>
    <xf numFmtId="1" fontId="55" fillId="25" borderId="8" xfId="0" applyNumberFormat="1" applyFont="1" applyFill="1" applyBorder="1" applyAlignment="1">
      <alignment horizontal="center" vertical="center" wrapText="1"/>
    </xf>
    <xf numFmtId="4" fontId="25" fillId="0" borderId="8" xfId="0" applyNumberFormat="1" applyFont="1" applyBorder="1" applyAlignment="1">
      <alignment horizontal="center" vertical="center" wrapText="1"/>
    </xf>
    <xf numFmtId="4" fontId="27" fillId="25" borderId="8" xfId="53" applyNumberFormat="1" applyFont="1" applyFill="1" applyBorder="1" applyAlignment="1">
      <alignment horizontal="center" vertical="center" wrapText="1"/>
    </xf>
    <xf numFmtId="4" fontId="28" fillId="0" borderId="8" xfId="0" applyNumberFormat="1" applyFont="1" applyBorder="1" applyAlignment="1">
      <alignment horizontal="center" vertical="center"/>
    </xf>
    <xf numFmtId="1" fontId="30" fillId="0" borderId="8" xfId="0" applyNumberFormat="1" applyFont="1" applyBorder="1" applyAlignment="1">
      <alignment horizontal="center" vertical="center" wrapText="1"/>
    </xf>
    <xf numFmtId="4" fontId="27" fillId="25" borderId="8" xfId="54" applyNumberFormat="1" applyFont="1" applyFill="1" applyBorder="1" applyAlignment="1">
      <alignment horizontal="center" vertical="center" wrapText="1"/>
    </xf>
    <xf numFmtId="4" fontId="28" fillId="24" borderId="7" xfId="0" applyNumberFormat="1" applyFont="1" applyFill="1" applyBorder="1" applyAlignment="1">
      <alignment horizontal="center" vertical="center" wrapText="1"/>
    </xf>
    <xf numFmtId="0" fontId="58" fillId="25" borderId="8" xfId="0" applyFont="1" applyFill="1" applyBorder="1" applyAlignment="1">
      <alignment horizontal="left" vertical="center" wrapText="1"/>
    </xf>
    <xf numFmtId="4" fontId="24" fillId="0" borderId="8" xfId="0" applyNumberFormat="1" applyFont="1" applyBorder="1" applyAlignment="1">
      <alignment horizontal="center" vertical="center" wrapText="1"/>
    </xf>
    <xf numFmtId="4" fontId="33" fillId="24" borderId="7" xfId="0" applyNumberFormat="1" applyFont="1" applyFill="1" applyBorder="1" applyAlignment="1">
      <alignment horizontal="center" vertical="center" wrapText="1"/>
    </xf>
    <xf numFmtId="4" fontId="33" fillId="0" borderId="0" xfId="0" applyNumberFormat="1" applyFont="1"/>
    <xf numFmtId="4" fontId="38" fillId="0" borderId="0" xfId="0" applyNumberFormat="1" applyFont="1"/>
    <xf numFmtId="4" fontId="33" fillId="0" borderId="8" xfId="0" applyNumberFormat="1" applyFont="1" applyBorder="1" applyAlignment="1">
      <alignment horizontal="center" vertical="center" wrapText="1"/>
    </xf>
    <xf numFmtId="4" fontId="37" fillId="0" borderId="8" xfId="0" applyNumberFormat="1" applyFont="1" applyBorder="1" applyAlignment="1">
      <alignment horizontal="center" vertical="center" wrapText="1"/>
    </xf>
    <xf numFmtId="1" fontId="45" fillId="0" borderId="8" xfId="0" applyNumberFormat="1" applyFont="1" applyBorder="1" applyAlignment="1">
      <alignment horizontal="center" vertical="center" wrapText="1"/>
    </xf>
    <xf numFmtId="4" fontId="30" fillId="0" borderId="8" xfId="0" applyNumberFormat="1" applyFont="1" applyBorder="1" applyAlignment="1">
      <alignment horizontal="center" vertical="center" wrapText="1"/>
    </xf>
    <xf numFmtId="4" fontId="28" fillId="25" borderId="8" xfId="53" applyNumberFormat="1" applyFont="1" applyFill="1" applyBorder="1" applyAlignment="1">
      <alignment horizontal="center" vertical="center" wrapText="1"/>
    </xf>
    <xf numFmtId="3" fontId="28" fillId="25" borderId="8" xfId="0" applyNumberFormat="1" applyFont="1" applyFill="1" applyBorder="1" applyAlignment="1">
      <alignment horizontal="center" vertical="center"/>
    </xf>
    <xf numFmtId="1" fontId="45" fillId="25" borderId="11" xfId="0" applyNumberFormat="1" applyFont="1" applyFill="1" applyBorder="1" applyAlignment="1">
      <alignment horizontal="center" vertical="center" wrapText="1"/>
    </xf>
    <xf numFmtId="1" fontId="24" fillId="25" borderId="11" xfId="0" applyNumberFormat="1" applyFont="1" applyFill="1" applyBorder="1" applyAlignment="1">
      <alignment horizontal="center" vertical="center" wrapText="1"/>
    </xf>
    <xf numFmtId="1" fontId="24" fillId="25" borderId="8" xfId="0" applyNumberFormat="1" applyFont="1" applyFill="1" applyBorder="1" applyAlignment="1">
      <alignment horizontal="center" vertical="center" wrapText="1"/>
    </xf>
    <xf numFmtId="4" fontId="24" fillId="25" borderId="8" xfId="0" applyNumberFormat="1" applyFont="1" applyFill="1" applyBorder="1" applyAlignment="1">
      <alignment horizontal="center" vertical="center"/>
    </xf>
    <xf numFmtId="4" fontId="0" fillId="25" borderId="8" xfId="0" applyNumberFormat="1" applyFill="1" applyBorder="1"/>
    <xf numFmtId="4" fontId="25" fillId="25" borderId="8" xfId="0" applyNumberFormat="1" applyFont="1" applyFill="1" applyBorder="1" applyAlignment="1">
      <alignment horizontal="center" vertical="center"/>
    </xf>
    <xf numFmtId="49" fontId="25" fillId="27" borderId="8" xfId="0" applyNumberFormat="1" applyFont="1" applyFill="1" applyBorder="1" applyAlignment="1">
      <alignment horizontal="center" vertical="center"/>
    </xf>
    <xf numFmtId="3" fontId="24" fillId="27" borderId="8" xfId="0" applyNumberFormat="1" applyFont="1" applyFill="1" applyBorder="1" applyAlignment="1">
      <alignment horizontal="center" vertical="center"/>
    </xf>
    <xf numFmtId="1" fontId="25" fillId="6" borderId="9" xfId="0" applyNumberFormat="1" applyFont="1" applyFill="1" applyBorder="1" applyAlignment="1">
      <alignment horizontal="center" vertical="center"/>
    </xf>
    <xf numFmtId="1" fontId="30" fillId="6" borderId="0" xfId="0" applyNumberFormat="1" applyFont="1" applyFill="1" applyAlignment="1">
      <alignment horizontal="center" vertical="center" wrapText="1"/>
    </xf>
    <xf numFmtId="1" fontId="27" fillId="6" borderId="9" xfId="0" applyNumberFormat="1" applyFont="1" applyFill="1" applyBorder="1" applyAlignment="1">
      <alignment horizontal="center" vertical="center" wrapText="1"/>
    </xf>
    <xf numFmtId="3" fontId="25" fillId="6" borderId="9" xfId="0" applyNumberFormat="1" applyFont="1" applyFill="1" applyBorder="1" applyAlignment="1">
      <alignment horizontal="center" vertical="center"/>
    </xf>
    <xf numFmtId="3" fontId="25" fillId="24" borderId="9" xfId="0" applyNumberFormat="1" applyFont="1" applyFill="1" applyBorder="1" applyAlignment="1">
      <alignment horizontal="center" vertical="center"/>
    </xf>
    <xf numFmtId="3" fontId="25" fillId="25" borderId="8" xfId="0" applyNumberFormat="1" applyFont="1" applyFill="1" applyBorder="1" applyAlignment="1">
      <alignment horizontal="center" vertical="center"/>
    </xf>
    <xf numFmtId="3" fontId="28" fillId="0" borderId="8" xfId="0" applyNumberFormat="1" applyFont="1" applyBorder="1" applyAlignment="1">
      <alignment horizontal="center" vertical="center"/>
    </xf>
    <xf numFmtId="3" fontId="27" fillId="0" borderId="8" xfId="0" applyNumberFormat="1" applyFont="1" applyBorder="1" applyAlignment="1">
      <alignment horizontal="center" vertical="center" wrapText="1"/>
    </xf>
    <xf numFmtId="3" fontId="24" fillId="27" borderId="8" xfId="48" applyNumberFormat="1" applyFont="1" applyFill="1" applyBorder="1" applyAlignment="1">
      <alignment horizontal="center" vertical="center" wrapText="1"/>
    </xf>
    <xf numFmtId="3" fontId="25" fillId="6" borderId="8" xfId="48" applyNumberFormat="1" applyFont="1" applyFill="1" applyBorder="1" applyAlignment="1">
      <alignment horizontal="center" vertical="center" wrapText="1"/>
    </xf>
    <xf numFmtId="3" fontId="27" fillId="25" borderId="8" xfId="0" applyNumberFormat="1" applyFont="1" applyFill="1" applyBorder="1" applyAlignment="1">
      <alignment horizontal="center" vertical="center" wrapText="1"/>
    </xf>
    <xf numFmtId="3" fontId="28" fillId="25" borderId="8" xfId="48" applyNumberFormat="1" applyFont="1" applyFill="1" applyBorder="1" applyAlignment="1">
      <alignment horizontal="center" vertical="center" wrapText="1"/>
    </xf>
    <xf numFmtId="3" fontId="28" fillId="24" borderId="8" xfId="0" applyNumberFormat="1" applyFont="1" applyFill="1" applyBorder="1" applyAlignment="1">
      <alignment horizontal="center" vertical="center" wrapText="1"/>
    </xf>
    <xf numFmtId="3" fontId="28" fillId="0" borderId="8" xfId="0" applyNumberFormat="1" applyFont="1" applyBorder="1" applyAlignment="1">
      <alignment horizontal="center" wrapText="1"/>
    </xf>
    <xf numFmtId="3" fontId="28" fillId="0" borderId="8" xfId="53" applyNumberFormat="1" applyFont="1" applyBorder="1" applyAlignment="1">
      <alignment horizontal="center" vertical="center" wrapText="1"/>
    </xf>
    <xf numFmtId="3" fontId="25" fillId="6" borderId="8" xfId="0" applyNumberFormat="1" applyFont="1" applyFill="1" applyBorder="1" applyAlignment="1">
      <alignment horizontal="center" vertical="center"/>
    </xf>
    <xf numFmtId="4" fontId="28" fillId="24" borderId="8" xfId="0" applyNumberFormat="1" applyFont="1" applyFill="1" applyBorder="1" applyAlignment="1">
      <alignment horizontal="center" vertical="center"/>
    </xf>
    <xf numFmtId="4" fontId="28" fillId="0" borderId="8" xfId="53" applyNumberFormat="1" applyFont="1" applyBorder="1" applyAlignment="1">
      <alignment horizontal="center" vertical="center" wrapText="1"/>
    </xf>
    <xf numFmtId="3" fontId="24" fillId="24" borderId="8" xfId="0" applyNumberFormat="1" applyFont="1" applyFill="1" applyBorder="1" applyAlignment="1">
      <alignment horizontal="center" vertical="center"/>
    </xf>
    <xf numFmtId="3" fontId="25" fillId="24" borderId="8" xfId="0" applyNumberFormat="1" applyFont="1" applyFill="1" applyBorder="1" applyAlignment="1">
      <alignment horizontal="center" vertical="center"/>
    </xf>
    <xf numFmtId="3" fontId="28" fillId="0" borderId="8" xfId="0" applyNumberFormat="1" applyFont="1" applyBorder="1" applyAlignment="1">
      <alignment horizontal="center" vertical="center" wrapText="1"/>
    </xf>
    <xf numFmtId="4" fontId="33" fillId="27" borderId="8" xfId="53" applyNumberFormat="1" applyFont="1" applyFill="1" applyBorder="1" applyAlignment="1">
      <alignment horizontal="center" vertical="center" wrapText="1"/>
    </xf>
    <xf numFmtId="4" fontId="24" fillId="27" borderId="8" xfId="53" applyNumberFormat="1" applyFont="1" applyFill="1" applyBorder="1" applyAlignment="1">
      <alignment horizontal="center" vertical="center" wrapText="1"/>
    </xf>
    <xf numFmtId="4" fontId="33" fillId="24" borderId="8" xfId="53" applyNumberFormat="1" applyFont="1" applyFill="1" applyBorder="1" applyAlignment="1">
      <alignment horizontal="center" vertical="center" wrapText="1"/>
    </xf>
    <xf numFmtId="1" fontId="24" fillId="6" borderId="8" xfId="0" applyNumberFormat="1" applyFont="1" applyFill="1" applyBorder="1" applyAlignment="1">
      <alignment horizontal="center" vertical="center" wrapText="1"/>
    </xf>
    <xf numFmtId="4" fontId="30" fillId="24" borderId="8" xfId="53" applyNumberFormat="1" applyFont="1" applyFill="1" applyBorder="1" applyAlignment="1">
      <alignment horizontal="center" vertical="center" wrapText="1"/>
    </xf>
    <xf numFmtId="1" fontId="60" fillId="26" borderId="8" xfId="0" applyNumberFormat="1" applyFont="1" applyFill="1" applyBorder="1" applyAlignment="1">
      <alignment horizontal="center" vertical="center" wrapText="1"/>
    </xf>
    <xf numFmtId="1" fontId="61" fillId="26" borderId="8" xfId="0" applyNumberFormat="1" applyFont="1" applyFill="1" applyBorder="1"/>
    <xf numFmtId="1" fontId="53" fillId="26" borderId="8" xfId="0" applyNumberFormat="1" applyFont="1" applyFill="1" applyBorder="1" applyAlignment="1">
      <alignment horizontal="center" vertical="center" wrapText="1"/>
    </xf>
    <xf numFmtId="4" fontId="30" fillId="27" borderId="8" xfId="0" applyNumberFormat="1" applyFont="1" applyFill="1" applyBorder="1" applyAlignment="1">
      <alignment horizontal="center" vertical="center" wrapText="1"/>
    </xf>
    <xf numFmtId="1" fontId="22" fillId="25" borderId="8" xfId="0" applyNumberFormat="1" applyFont="1" applyFill="1" applyBorder="1"/>
    <xf numFmtId="1" fontId="45" fillId="25" borderId="8" xfId="0" applyNumberFormat="1" applyFont="1" applyFill="1" applyBorder="1" applyAlignment="1">
      <alignment horizontal="center" vertical="center"/>
    </xf>
    <xf numFmtId="4" fontId="25" fillId="25" borderId="8" xfId="53" applyNumberFormat="1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4" fontId="24" fillId="3" borderId="8" xfId="0" applyNumberFormat="1" applyFont="1" applyFill="1" applyBorder="1" applyAlignment="1">
      <alignment horizontal="center" vertical="center" wrapText="1"/>
    </xf>
    <xf numFmtId="4" fontId="62" fillId="3" borderId="0" xfId="0" applyNumberFormat="1" applyFont="1" applyFill="1"/>
    <xf numFmtId="0" fontId="62" fillId="3" borderId="0" xfId="0" applyFont="1" applyFill="1"/>
    <xf numFmtId="0" fontId="35" fillId="3" borderId="0" xfId="0" applyFont="1" applyFill="1"/>
    <xf numFmtId="0" fontId="48" fillId="20" borderId="8" xfId="0" applyFont="1" applyFill="1" applyBorder="1" applyAlignment="1">
      <alignment horizontal="left"/>
    </xf>
    <xf numFmtId="4" fontId="48" fillId="20" borderId="8" xfId="0" applyNumberFormat="1" applyFont="1" applyFill="1" applyBorder="1" applyAlignment="1">
      <alignment horizontal="left"/>
    </xf>
    <xf numFmtId="4" fontId="48" fillId="20" borderId="8" xfId="0" applyNumberFormat="1" applyFont="1" applyFill="1" applyBorder="1" applyAlignment="1">
      <alignment horizontal="center" vertical="center" wrapText="1"/>
    </xf>
    <xf numFmtId="4" fontId="48" fillId="24" borderId="8" xfId="0" applyNumberFormat="1" applyFont="1" applyFill="1" applyBorder="1" applyAlignment="1">
      <alignment horizontal="center" vertical="center" wrapText="1"/>
    </xf>
    <xf numFmtId="4" fontId="53" fillId="0" borderId="8" xfId="0" applyNumberFormat="1" applyFont="1" applyBorder="1"/>
    <xf numFmtId="0" fontId="48" fillId="0" borderId="0" xfId="0" applyFont="1" applyAlignment="1">
      <alignment horizontal="left"/>
    </xf>
    <xf numFmtId="4" fontId="48" fillId="0" borderId="0" xfId="0" applyNumberFormat="1" applyFont="1" applyAlignment="1">
      <alignment horizontal="left"/>
    </xf>
    <xf numFmtId="4" fontId="48" fillId="0" borderId="0" xfId="0" applyNumberFormat="1" applyFont="1" applyAlignment="1">
      <alignment horizontal="center" wrapText="1"/>
    </xf>
    <xf numFmtId="4" fontId="48" fillId="24" borderId="0" xfId="0" applyNumberFormat="1" applyFont="1" applyFill="1" applyAlignment="1">
      <alignment horizontal="center" wrapText="1"/>
    </xf>
    <xf numFmtId="4" fontId="53" fillId="0" borderId="0" xfId="0" applyNumberFormat="1" applyFont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4" fontId="28" fillId="0" borderId="11" xfId="0" applyNumberFormat="1" applyFont="1" applyBorder="1" applyAlignment="1">
      <alignment horizontal="center" vertical="center" wrapText="1"/>
    </xf>
    <xf numFmtId="1" fontId="25" fillId="26" borderId="8" xfId="0" applyNumberFormat="1" applyFont="1" applyFill="1" applyBorder="1" applyAlignment="1">
      <alignment horizontal="center" vertical="center" wrapText="1"/>
    </xf>
    <xf numFmtId="4" fontId="59" fillId="26" borderId="8" xfId="53" applyNumberFormat="1" applyFont="1" applyFill="1" applyBorder="1" applyAlignment="1">
      <alignment horizontal="center" vertical="center" wrapText="1"/>
    </xf>
    <xf numFmtId="4" fontId="48" fillId="26" borderId="8" xfId="53" applyNumberFormat="1" applyFont="1" applyFill="1" applyBorder="1" applyAlignment="1">
      <alignment horizontal="center" vertical="center" wrapText="1"/>
    </xf>
    <xf numFmtId="4" fontId="48" fillId="24" borderId="8" xfId="53" applyNumberFormat="1" applyFont="1" applyFill="1" applyBorder="1" applyAlignment="1">
      <alignment horizontal="center" vertical="center" wrapText="1"/>
    </xf>
    <xf numFmtId="1" fontId="30" fillId="25" borderId="0" xfId="0" applyNumberFormat="1" applyFont="1" applyFill="1" applyAlignment="1">
      <alignment horizontal="center" vertical="center" wrapText="1"/>
    </xf>
    <xf numFmtId="4" fontId="37" fillId="25" borderId="8" xfId="0" applyNumberFormat="1" applyFont="1" applyFill="1" applyBorder="1" applyAlignment="1">
      <alignment horizontal="center" vertical="center" wrapText="1"/>
    </xf>
    <xf numFmtId="4" fontId="37" fillId="24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19" fillId="0" borderId="8" xfId="0" applyNumberFormat="1" applyFont="1" applyBorder="1" applyAlignment="1">
      <alignment horizontal="center" vertical="center" wrapText="1"/>
    </xf>
    <xf numFmtId="4" fontId="48" fillId="0" borderId="0" xfId="0" applyNumberFormat="1" applyFont="1"/>
    <xf numFmtId="4" fontId="53" fillId="0" borderId="0" xfId="0" applyNumberFormat="1" applyFont="1"/>
    <xf numFmtId="4" fontId="0" fillId="24" borderId="0" xfId="0" applyNumberFormat="1" applyFill="1"/>
    <xf numFmtId="0" fontId="27" fillId="0" borderId="11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45" fillId="25" borderId="9" xfId="0" applyFont="1" applyFill="1" applyBorder="1" applyAlignment="1">
      <alignment horizontal="center" vertical="center" wrapText="1"/>
    </xf>
    <xf numFmtId="4" fontId="38" fillId="25" borderId="13" xfId="0" applyNumberFormat="1" applyFont="1" applyFill="1" applyBorder="1" applyAlignment="1">
      <alignment horizontal="center" vertical="center" wrapText="1"/>
    </xf>
    <xf numFmtId="4" fontId="33" fillId="27" borderId="11" xfId="48" applyNumberFormat="1" applyFont="1" applyFill="1" applyBorder="1" applyAlignment="1">
      <alignment horizontal="center" vertical="center" wrapText="1"/>
    </xf>
    <xf numFmtId="4" fontId="48" fillId="0" borderId="8" xfId="0" applyNumberFormat="1" applyFont="1" applyBorder="1" applyAlignment="1">
      <alignment horizontal="center" vertical="center" wrapText="1"/>
    </xf>
    <xf numFmtId="4" fontId="0" fillId="0" borderId="8" xfId="0" applyNumberFormat="1" applyBorder="1" applyAlignment="1">
      <alignment vertical="center"/>
    </xf>
    <xf numFmtId="4" fontId="0" fillId="24" borderId="8" xfId="0" applyNumberFormat="1" applyFill="1" applyBorder="1" applyAlignment="1">
      <alignment vertical="center"/>
    </xf>
    <xf numFmtId="4" fontId="57" fillId="0" borderId="8" xfId="0" applyNumberFormat="1" applyFont="1" applyBorder="1" applyAlignment="1">
      <alignment horizontal="center" vertical="center" wrapText="1"/>
    </xf>
    <xf numFmtId="0" fontId="65" fillId="24" borderId="0" xfId="0" applyFont="1" applyFill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6" fillId="24" borderId="0" xfId="0" applyFont="1" applyFill="1" applyAlignment="1">
      <alignment horizontal="center" vertical="center" wrapText="1"/>
    </xf>
    <xf numFmtId="0" fontId="48" fillId="25" borderId="8" xfId="0" applyFont="1" applyFill="1" applyBorder="1" applyAlignment="1">
      <alignment horizontal="left"/>
    </xf>
    <xf numFmtId="4" fontId="48" fillId="25" borderId="8" xfId="0" applyNumberFormat="1" applyFont="1" applyFill="1" applyBorder="1" applyAlignment="1">
      <alignment horizontal="left"/>
    </xf>
    <xf numFmtId="4" fontId="48" fillId="25" borderId="8" xfId="0" applyNumberFormat="1" applyFont="1" applyFill="1" applyBorder="1" applyAlignment="1">
      <alignment horizontal="center" wrapText="1"/>
    </xf>
    <xf numFmtId="4" fontId="48" fillId="25" borderId="8" xfId="0" applyNumberFormat="1" applyFont="1" applyFill="1" applyBorder="1" applyAlignment="1">
      <alignment horizontal="center" vertical="center" wrapText="1"/>
    </xf>
    <xf numFmtId="2" fontId="0" fillId="27" borderId="8" xfId="0" applyNumberFormat="1" applyFill="1" applyBorder="1" applyAlignment="1">
      <alignment horizontal="center" vertical="center" wrapText="1"/>
    </xf>
    <xf numFmtId="2" fontId="49" fillId="27" borderId="8" xfId="0" applyNumberFormat="1" applyFont="1" applyFill="1" applyBorder="1" applyAlignment="1">
      <alignment horizontal="center" vertical="center" wrapText="1"/>
    </xf>
    <xf numFmtId="4" fontId="48" fillId="27" borderId="8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23" fillId="24" borderId="0" xfId="0" applyFont="1" applyFill="1" applyAlignment="1">
      <alignment horizontal="center" wrapText="1"/>
    </xf>
    <xf numFmtId="0" fontId="20" fillId="0" borderId="0" xfId="0" applyFont="1" applyAlignment="1">
      <alignment horizontal="center" vertical="center" wrapText="1"/>
    </xf>
    <xf numFmtId="49" fontId="24" fillId="26" borderId="8" xfId="0" applyNumberFormat="1" applyFont="1" applyFill="1" applyBorder="1" applyAlignment="1">
      <alignment horizontal="center" vertical="center" wrapText="1"/>
    </xf>
    <xf numFmtId="2" fontId="24" fillId="26" borderId="8" xfId="0" applyNumberFormat="1" applyFont="1" applyFill="1" applyBorder="1" applyAlignment="1">
      <alignment horizontal="center" vertical="center" wrapText="1"/>
    </xf>
    <xf numFmtId="4" fontId="24" fillId="26" borderId="8" xfId="0" applyNumberFormat="1" applyFont="1" applyFill="1" applyBorder="1" applyAlignment="1">
      <alignment horizontal="center" vertical="center" wrapText="1"/>
    </xf>
    <xf numFmtId="49" fontId="29" fillId="22" borderId="8" xfId="0" applyNumberFormat="1" applyFont="1" applyFill="1" applyBorder="1" applyAlignment="1">
      <alignment horizontal="center" vertical="center" wrapText="1"/>
    </xf>
    <xf numFmtId="1" fontId="33" fillId="22" borderId="8" xfId="0" applyNumberFormat="1" applyFont="1" applyFill="1" applyBorder="1" applyAlignment="1">
      <alignment horizontal="center" vertical="center" wrapText="1"/>
    </xf>
    <xf numFmtId="49" fontId="24" fillId="22" borderId="8" xfId="0" applyNumberFormat="1" applyFont="1" applyFill="1" applyBorder="1" applyAlignment="1">
      <alignment horizontal="center" vertical="center" wrapText="1"/>
    </xf>
    <xf numFmtId="4" fontId="24" fillId="22" borderId="8" xfId="0" applyNumberFormat="1" applyFont="1" applyFill="1" applyBorder="1" applyAlignment="1">
      <alignment horizontal="left" vertical="center" wrapText="1"/>
    </xf>
    <xf numFmtId="4" fontId="24" fillId="22" borderId="8" xfId="0" applyNumberFormat="1" applyFont="1" applyFill="1" applyBorder="1" applyAlignment="1">
      <alignment horizontal="center" vertical="center" wrapText="1"/>
    </xf>
    <xf numFmtId="4" fontId="33" fillId="22" borderId="8" xfId="0" applyNumberFormat="1" applyFont="1" applyFill="1" applyBorder="1" applyAlignment="1">
      <alignment horizontal="center" vertical="center" wrapText="1"/>
    </xf>
    <xf numFmtId="2" fontId="0" fillId="6" borderId="8" xfId="0" applyNumberFormat="1" applyFill="1" applyBorder="1" applyAlignment="1">
      <alignment horizontal="center" vertical="center" wrapText="1"/>
    </xf>
    <xf numFmtId="2" fontId="24" fillId="6" borderId="8" xfId="0" applyNumberFormat="1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 wrapText="1"/>
    </xf>
    <xf numFmtId="2" fontId="24" fillId="25" borderId="8" xfId="0" applyNumberFormat="1" applyFont="1" applyFill="1" applyBorder="1" applyAlignment="1">
      <alignment horizontal="center" vertical="center" wrapText="1"/>
    </xf>
    <xf numFmtId="4" fontId="53" fillId="27" borderId="8" xfId="0" applyNumberFormat="1" applyFont="1" applyFill="1" applyBorder="1" applyAlignment="1">
      <alignment horizontal="center" vertical="center" wrapText="1"/>
    </xf>
    <xf numFmtId="0" fontId="68" fillId="0" borderId="8" xfId="0" applyFont="1" applyBorder="1" applyAlignment="1">
      <alignment horizontal="center" vertical="center" wrapText="1"/>
    </xf>
    <xf numFmtId="4" fontId="29" fillId="26" borderId="8" xfId="0" applyNumberFormat="1" applyFont="1" applyFill="1" applyBorder="1" applyAlignment="1">
      <alignment horizontal="left" vertical="center" wrapText="1"/>
    </xf>
    <xf numFmtId="1" fontId="29" fillId="22" borderId="8" xfId="0" applyNumberFormat="1" applyFont="1" applyFill="1" applyBorder="1" applyAlignment="1">
      <alignment horizontal="center" vertical="center"/>
    </xf>
    <xf numFmtId="1" fontId="29" fillId="22" borderId="8" xfId="0" applyNumberFormat="1" applyFont="1" applyFill="1" applyBorder="1" applyAlignment="1">
      <alignment horizontal="center" vertical="center" wrapText="1"/>
    </xf>
    <xf numFmtId="1" fontId="55" fillId="22" borderId="8" xfId="0" applyNumberFormat="1" applyFont="1" applyFill="1" applyBorder="1" applyAlignment="1">
      <alignment horizontal="center" vertical="center" wrapText="1"/>
    </xf>
    <xf numFmtId="4" fontId="55" fillId="22" borderId="8" xfId="0" applyNumberFormat="1" applyFont="1" applyFill="1" applyBorder="1" applyAlignment="1">
      <alignment horizontal="left" vertical="center" wrapText="1"/>
    </xf>
    <xf numFmtId="4" fontId="55" fillId="22" borderId="8" xfId="0" applyNumberFormat="1" applyFont="1" applyFill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 wrapText="1"/>
    </xf>
    <xf numFmtId="1" fontId="53" fillId="0" borderId="8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0" fillId="24" borderId="8" xfId="0" applyFill="1" applyBorder="1"/>
    <xf numFmtId="4" fontId="0" fillId="0" borderId="0" xfId="0" applyNumberForma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4" fontId="48" fillId="26" borderId="8" xfId="48" applyNumberFormat="1" applyFont="1" applyFill="1" applyBorder="1" applyAlignment="1">
      <alignment horizontal="center" vertical="center"/>
    </xf>
    <xf numFmtId="4" fontId="48" fillId="24" borderId="8" xfId="48" applyNumberFormat="1" applyFont="1" applyFill="1" applyBorder="1" applyAlignment="1">
      <alignment horizontal="center" vertical="center"/>
    </xf>
    <xf numFmtId="4" fontId="33" fillId="6" borderId="9" xfId="0" applyNumberFormat="1" applyFont="1" applyFill="1" applyBorder="1" applyAlignment="1">
      <alignment horizontal="center" vertical="center" wrapText="1"/>
    </xf>
    <xf numFmtId="4" fontId="24" fillId="6" borderId="9" xfId="48" applyNumberFormat="1" applyFont="1" applyFill="1" applyBorder="1" applyAlignment="1">
      <alignment horizontal="center" vertical="center"/>
    </xf>
    <xf numFmtId="4" fontId="25" fillId="6" borderId="9" xfId="48" applyNumberFormat="1" applyFont="1" applyFill="1" applyBorder="1" applyAlignment="1">
      <alignment horizontal="center" vertical="center"/>
    </xf>
    <xf numFmtId="4" fontId="25" fillId="24" borderId="9" xfId="48" applyNumberFormat="1" applyFont="1" applyFill="1" applyBorder="1" applyAlignment="1">
      <alignment horizontal="center" vertical="center"/>
    </xf>
    <xf numFmtId="4" fontId="33" fillId="25" borderId="9" xfId="0" applyNumberFormat="1" applyFont="1" applyFill="1" applyBorder="1" applyAlignment="1">
      <alignment horizontal="center" vertical="center" wrapText="1"/>
    </xf>
    <xf numFmtId="4" fontId="24" fillId="25" borderId="9" xfId="48" applyNumberFormat="1" applyFont="1" applyFill="1" applyBorder="1" applyAlignment="1">
      <alignment horizontal="center" vertical="center"/>
    </xf>
    <xf numFmtId="4" fontId="28" fillId="25" borderId="9" xfId="48" applyNumberFormat="1" applyFont="1" applyFill="1" applyBorder="1" applyAlignment="1">
      <alignment horizontal="center" vertical="center"/>
    </xf>
    <xf numFmtId="4" fontId="28" fillId="24" borderId="9" xfId="48" applyNumberFormat="1" applyFont="1" applyFill="1" applyBorder="1" applyAlignment="1">
      <alignment horizontal="center" vertical="center"/>
    </xf>
    <xf numFmtId="0" fontId="37" fillId="0" borderId="8" xfId="0" applyFont="1" applyBorder="1" applyAlignment="1">
      <alignment vertical="center" wrapText="1"/>
    </xf>
    <xf numFmtId="4" fontId="25" fillId="25" borderId="11" xfId="48" applyNumberFormat="1" applyFont="1" applyFill="1" applyBorder="1" applyAlignment="1">
      <alignment horizontal="center" vertical="center"/>
    </xf>
    <xf numFmtId="4" fontId="28" fillId="25" borderId="11" xfId="48" applyNumberFormat="1" applyFont="1" applyFill="1" applyBorder="1" applyAlignment="1">
      <alignment horizontal="center" vertical="center"/>
    </xf>
    <xf numFmtId="0" fontId="37" fillId="25" borderId="8" xfId="0" applyFont="1" applyFill="1" applyBorder="1" applyAlignment="1">
      <alignment horizontal="left" vertical="center" wrapText="1"/>
    </xf>
    <xf numFmtId="4" fontId="22" fillId="25" borderId="13" xfId="0" applyNumberFormat="1" applyFont="1" applyFill="1" applyBorder="1" applyAlignment="1">
      <alignment horizontal="center" vertical="center" wrapText="1"/>
    </xf>
    <xf numFmtId="4" fontId="28" fillId="0" borderId="9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1" fontId="24" fillId="22" borderId="8" xfId="0" applyNumberFormat="1" applyFont="1" applyFill="1" applyBorder="1" applyAlignment="1">
      <alignment horizontal="center" vertical="center" wrapText="1"/>
    </xf>
    <xf numFmtId="4" fontId="28" fillId="22" borderId="8" xfId="0" applyNumberFormat="1" applyFont="1" applyFill="1" applyBorder="1" applyAlignment="1">
      <alignment horizontal="center" vertical="center" wrapText="1"/>
    </xf>
    <xf numFmtId="1" fontId="29" fillId="25" borderId="8" xfId="0" applyNumberFormat="1" applyFont="1" applyFill="1" applyBorder="1" applyAlignment="1">
      <alignment horizontal="center" vertical="center" wrapText="1"/>
    </xf>
    <xf numFmtId="1" fontId="33" fillId="26" borderId="8" xfId="0" applyNumberFormat="1" applyFont="1" applyFill="1" applyBorder="1" applyAlignment="1">
      <alignment horizontal="center" vertical="center" wrapText="1"/>
    </xf>
    <xf numFmtId="4" fontId="33" fillId="22" borderId="8" xfId="0" applyNumberFormat="1" applyFont="1" applyFill="1" applyBorder="1" applyAlignment="1">
      <alignment horizontal="left" vertical="center" wrapText="1"/>
    </xf>
    <xf numFmtId="1" fontId="0" fillId="6" borderId="8" xfId="0" applyNumberFormat="1" applyFill="1" applyBorder="1" applyAlignment="1">
      <alignment horizontal="center" vertical="center" wrapText="1"/>
    </xf>
    <xf numFmtId="1" fontId="19" fillId="6" borderId="8" xfId="0" applyNumberFormat="1" applyFont="1" applyFill="1" applyBorder="1" applyAlignment="1">
      <alignment horizontal="center" vertical="center" wrapText="1"/>
    </xf>
    <xf numFmtId="4" fontId="30" fillId="6" borderId="8" xfId="0" applyNumberFormat="1" applyFont="1" applyFill="1" applyBorder="1" applyAlignment="1">
      <alignment horizontal="center" wrapText="1"/>
    </xf>
    <xf numFmtId="4" fontId="25" fillId="22" borderId="8" xfId="0" applyNumberFormat="1" applyFont="1" applyFill="1" applyBorder="1" applyAlignment="1">
      <alignment horizontal="center" vertical="center" wrapText="1"/>
    </xf>
    <xf numFmtId="4" fontId="24" fillId="25" borderId="8" xfId="0" applyNumberFormat="1" applyFont="1" applyFill="1" applyBorder="1" applyAlignment="1">
      <alignment horizontal="left"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4" fontId="37" fillId="0" borderId="8" xfId="0" applyNumberFormat="1" applyFont="1" applyBorder="1" applyAlignment="1">
      <alignment horizontal="center" vertical="center"/>
    </xf>
    <xf numFmtId="4" fontId="37" fillId="24" borderId="8" xfId="0" applyNumberFormat="1" applyFont="1" applyFill="1" applyBorder="1" applyAlignment="1">
      <alignment horizontal="center" vertical="center"/>
    </xf>
    <xf numFmtId="1" fontId="0" fillId="27" borderId="8" xfId="0" applyNumberFormat="1" applyFill="1" applyBorder="1" applyAlignment="1">
      <alignment horizontal="center" vertical="center" wrapText="1"/>
    </xf>
    <xf numFmtId="1" fontId="49" fillId="27" borderId="8" xfId="0" applyNumberFormat="1" applyFont="1" applyFill="1" applyBorder="1" applyAlignment="1">
      <alignment horizontal="center" vertical="center" wrapText="1"/>
    </xf>
    <xf numFmtId="1" fontId="49" fillId="25" borderId="0" xfId="0" applyNumberFormat="1" applyFont="1" applyFill="1" applyAlignment="1">
      <alignment horizontal="center" vertical="center" wrapText="1"/>
    </xf>
    <xf numFmtId="4" fontId="48" fillId="25" borderId="0" xfId="0" applyNumberFormat="1" applyFont="1" applyFill="1" applyAlignment="1">
      <alignment horizontal="center" vertical="center" wrapText="1"/>
    </xf>
    <xf numFmtId="4" fontId="48" fillId="24" borderId="0" xfId="0" applyNumberFormat="1" applyFont="1" applyFill="1" applyAlignment="1">
      <alignment horizontal="center" vertical="center" wrapText="1"/>
    </xf>
    <xf numFmtId="1" fontId="29" fillId="26" borderId="8" xfId="0" applyNumberFormat="1" applyFont="1" applyFill="1" applyBorder="1" applyAlignment="1">
      <alignment horizontal="left" vertical="center" wrapText="1"/>
    </xf>
    <xf numFmtId="4" fontId="27" fillId="22" borderId="8" xfId="0" applyNumberFormat="1" applyFont="1" applyFill="1" applyBorder="1" applyAlignment="1">
      <alignment horizontal="center" vertical="center" wrapText="1"/>
    </xf>
    <xf numFmtId="4" fontId="19" fillId="0" borderId="11" xfId="0" applyNumberFormat="1" applyFont="1" applyBorder="1" applyAlignment="1">
      <alignment horizontal="center" vertical="center" wrapText="1"/>
    </xf>
    <xf numFmtId="2" fontId="24" fillId="25" borderId="11" xfId="0" applyNumberFormat="1" applyFont="1" applyFill="1" applyBorder="1" applyAlignment="1">
      <alignment horizontal="center" vertical="center" wrapText="1"/>
    </xf>
    <xf numFmtId="0" fontId="53" fillId="25" borderId="0" xfId="0" applyFont="1" applyFill="1" applyAlignment="1">
      <alignment horizontal="center" vertical="center"/>
    </xf>
    <xf numFmtId="4" fontId="53" fillId="25" borderId="0" xfId="0" applyNumberFormat="1" applyFont="1" applyFill="1" applyAlignment="1">
      <alignment horizontal="center" wrapText="1"/>
    </xf>
    <xf numFmtId="0" fontId="48" fillId="0" borderId="0" xfId="0" applyFont="1" applyAlignment="1">
      <alignment horizontal="center" wrapText="1"/>
    </xf>
    <xf numFmtId="4" fontId="33" fillId="0" borderId="8" xfId="0" applyNumberFormat="1" applyFont="1" applyBorder="1"/>
    <xf numFmtId="4" fontId="38" fillId="7" borderId="8" xfId="0" applyNumberFormat="1" applyFont="1" applyFill="1" applyBorder="1"/>
    <xf numFmtId="4" fontId="38" fillId="0" borderId="8" xfId="0" applyNumberFormat="1" applyFont="1" applyBorder="1"/>
    <xf numFmtId="4" fontId="33" fillId="26" borderId="8" xfId="0" applyNumberFormat="1" applyFont="1" applyFill="1" applyBorder="1"/>
    <xf numFmtId="1" fontId="38" fillId="26" borderId="8" xfId="0" applyNumberFormat="1" applyFont="1" applyFill="1" applyBorder="1"/>
    <xf numFmtId="4" fontId="33" fillId="27" borderId="8" xfId="0" applyNumberFormat="1" applyFont="1" applyFill="1" applyBorder="1"/>
    <xf numFmtId="4" fontId="33" fillId="3" borderId="8" xfId="0" applyNumberFormat="1" applyFont="1" applyFill="1" applyBorder="1"/>
    <xf numFmtId="3" fontId="38" fillId="0" borderId="8" xfId="0" applyNumberFormat="1" applyFont="1" applyBorder="1"/>
    <xf numFmtId="4" fontId="20" fillId="0" borderId="8" xfId="0" applyNumberFormat="1" applyFont="1" applyBorder="1"/>
    <xf numFmtId="4" fontId="27" fillId="29" borderId="8" xfId="48" applyNumberFormat="1" applyFont="1" applyFill="1" applyBorder="1" applyAlignment="1">
      <alignment horizontal="center" vertical="center" wrapText="1"/>
    </xf>
    <xf numFmtId="4" fontId="28" fillId="29" borderId="8" xfId="48" applyNumberFormat="1" applyFont="1" applyFill="1" applyBorder="1" applyAlignment="1">
      <alignment horizontal="center" vertical="center" wrapText="1"/>
    </xf>
    <xf numFmtId="4" fontId="28" fillId="29" borderId="11" xfId="0" applyNumberFormat="1" applyFont="1" applyFill="1" applyBorder="1" applyAlignment="1">
      <alignment horizontal="center" vertical="center" wrapText="1"/>
    </xf>
    <xf numFmtId="4" fontId="28" fillId="29" borderId="8" xfId="0" applyNumberFormat="1" applyFont="1" applyFill="1" applyBorder="1" applyAlignment="1">
      <alignment horizontal="center" vertical="center" wrapText="1"/>
    </xf>
    <xf numFmtId="4" fontId="48" fillId="32" borderId="8" xfId="0" applyNumberFormat="1" applyFont="1" applyFill="1" applyBorder="1" applyAlignment="1">
      <alignment horizontal="center" vertical="center" wrapText="1"/>
    </xf>
    <xf numFmtId="1" fontId="30" fillId="33" borderId="8" xfId="0" applyNumberFormat="1" applyFont="1" applyFill="1" applyBorder="1" applyAlignment="1">
      <alignment horizontal="center" vertical="center" wrapText="1"/>
    </xf>
    <xf numFmtId="4" fontId="24" fillId="33" borderId="8" xfId="0" applyNumberFormat="1" applyFont="1" applyFill="1" applyBorder="1" applyAlignment="1">
      <alignment horizontal="center" vertical="center" wrapText="1"/>
    </xf>
    <xf numFmtId="4" fontId="25" fillId="33" borderId="8" xfId="0" applyNumberFormat="1" applyFont="1" applyFill="1" applyBorder="1" applyAlignment="1">
      <alignment horizontal="center" vertical="center" wrapText="1"/>
    </xf>
    <xf numFmtId="4" fontId="28" fillId="33" borderId="8" xfId="0" applyNumberFormat="1" applyFont="1" applyFill="1" applyBorder="1" applyAlignment="1">
      <alignment horizontal="center" vertical="center" wrapText="1"/>
    </xf>
    <xf numFmtId="4" fontId="28" fillId="31" borderId="8" xfId="0" applyNumberFormat="1" applyFont="1" applyFill="1" applyBorder="1" applyAlignment="1">
      <alignment horizontal="center" vertical="center"/>
    </xf>
    <xf numFmtId="1" fontId="60" fillId="32" borderId="8" xfId="0" applyNumberFormat="1" applyFont="1" applyFill="1" applyBorder="1" applyAlignment="1">
      <alignment horizontal="center" vertical="center" wrapText="1"/>
    </xf>
    <xf numFmtId="1" fontId="61" fillId="32" borderId="8" xfId="0" applyNumberFormat="1" applyFont="1" applyFill="1" applyBorder="1"/>
    <xf numFmtId="1" fontId="53" fillId="32" borderId="8" xfId="0" applyNumberFormat="1" applyFont="1" applyFill="1" applyBorder="1" applyAlignment="1">
      <alignment horizontal="center" vertical="center" wrapText="1"/>
    </xf>
    <xf numFmtId="4" fontId="53" fillId="32" borderId="8" xfId="0" applyNumberFormat="1" applyFont="1" applyFill="1" applyBorder="1" applyAlignment="1">
      <alignment horizontal="center" vertical="center" wrapText="1"/>
    </xf>
    <xf numFmtId="4" fontId="20" fillId="31" borderId="0" xfId="0" applyNumberFormat="1" applyFont="1" applyFill="1"/>
    <xf numFmtId="0" fontId="20" fillId="31" borderId="0" xfId="0" applyFont="1" applyFill="1"/>
    <xf numFmtId="0" fontId="0" fillId="31" borderId="0" xfId="0" applyFill="1"/>
    <xf numFmtId="4" fontId="27" fillId="29" borderId="8" xfId="0" applyNumberFormat="1" applyFont="1" applyFill="1" applyBorder="1" applyAlignment="1">
      <alignment horizontal="center" vertical="center" wrapText="1"/>
    </xf>
    <xf numFmtId="4" fontId="27" fillId="31" borderId="8" xfId="0" applyNumberFormat="1" applyFont="1" applyFill="1" applyBorder="1" applyAlignment="1">
      <alignment horizontal="center" vertical="center" wrapText="1"/>
    </xf>
    <xf numFmtId="4" fontId="27" fillId="29" borderId="8" xfId="53" applyNumberFormat="1" applyFont="1" applyFill="1" applyBorder="1" applyAlignment="1">
      <alignment horizontal="center" vertical="center" wrapText="1"/>
    </xf>
    <xf numFmtId="4" fontId="62" fillId="3" borderId="8" xfId="0" applyNumberFormat="1" applyFont="1" applyFill="1" applyBorder="1"/>
    <xf numFmtId="0" fontId="62" fillId="3" borderId="8" xfId="0" applyFont="1" applyFill="1" applyBorder="1"/>
    <xf numFmtId="49" fontId="20" fillId="0" borderId="0" xfId="0" applyNumberFormat="1" applyFont="1" applyAlignment="1">
      <alignment horizontal="right"/>
    </xf>
    <xf numFmtId="0" fontId="20" fillId="0" borderId="14" xfId="0" applyFont="1" applyBorder="1"/>
    <xf numFmtId="4" fontId="28" fillId="31" borderId="8" xfId="0" applyNumberFormat="1" applyFont="1" applyFill="1" applyBorder="1" applyAlignment="1">
      <alignment horizontal="center" vertical="center" wrapText="1"/>
    </xf>
    <xf numFmtId="4" fontId="28" fillId="29" borderId="8" xfId="0" applyNumberFormat="1" applyFont="1" applyFill="1" applyBorder="1" applyAlignment="1">
      <alignment horizontal="center" vertical="center"/>
    </xf>
    <xf numFmtId="4" fontId="27" fillId="29" borderId="8" xfId="54" applyNumberFormat="1" applyFont="1" applyFill="1" applyBorder="1" applyAlignment="1">
      <alignment horizontal="center" vertical="center" wrapText="1"/>
    </xf>
    <xf numFmtId="4" fontId="25" fillId="29" borderId="8" xfId="0" applyNumberFormat="1" applyFont="1" applyFill="1" applyBorder="1" applyAlignment="1">
      <alignment horizontal="center" vertical="center" wrapText="1"/>
    </xf>
    <xf numFmtId="4" fontId="57" fillId="31" borderId="8" xfId="0" applyNumberFormat="1" applyFont="1" applyFill="1" applyBorder="1" applyAlignment="1">
      <alignment horizontal="center" vertical="center" wrapText="1"/>
    </xf>
    <xf numFmtId="0" fontId="27" fillId="31" borderId="8" xfId="0" applyFont="1" applyFill="1" applyBorder="1" applyAlignment="1">
      <alignment vertical="center" wrapText="1"/>
    </xf>
    <xf numFmtId="165" fontId="27" fillId="31" borderId="8" xfId="48" applyNumberFormat="1" applyFont="1" applyFill="1" applyBorder="1" applyAlignment="1">
      <alignment horizontal="left" vertical="center" wrapText="1"/>
    </xf>
    <xf numFmtId="0" fontId="58" fillId="29" borderId="8" xfId="0" applyFont="1" applyFill="1" applyBorder="1" applyAlignment="1">
      <alignment horizontal="left" vertical="center" wrapText="1"/>
    </xf>
    <xf numFmtId="4" fontId="28" fillId="29" borderId="11" xfId="48" applyNumberFormat="1" applyFont="1" applyFill="1" applyBorder="1" applyAlignment="1">
      <alignment horizontal="center" vertical="center" wrapText="1"/>
    </xf>
    <xf numFmtId="4" fontId="38" fillId="29" borderId="8" xfId="0" applyNumberFormat="1" applyFont="1" applyFill="1" applyBorder="1" applyAlignment="1">
      <alignment horizontal="center" vertical="center" wrapText="1"/>
    </xf>
    <xf numFmtId="4" fontId="37" fillId="29" borderId="8" xfId="0" applyNumberFormat="1" applyFont="1" applyFill="1" applyBorder="1" applyAlignment="1">
      <alignment horizontal="center" vertical="center" wrapText="1"/>
    </xf>
    <xf numFmtId="4" fontId="71" fillId="31" borderId="8" xfId="0" applyNumberFormat="1" applyFont="1" applyFill="1" applyBorder="1" applyAlignment="1">
      <alignment horizontal="center" vertical="center"/>
    </xf>
    <xf numFmtId="4" fontId="33" fillId="29" borderId="8" xfId="0" applyNumberFormat="1" applyFont="1" applyFill="1" applyBorder="1" applyAlignment="1">
      <alignment horizontal="center" vertical="center" wrapText="1"/>
    </xf>
    <xf numFmtId="4" fontId="71" fillId="31" borderId="8" xfId="0" applyNumberFormat="1" applyFont="1" applyFill="1" applyBorder="1" applyAlignment="1">
      <alignment horizontal="center" vertical="center" wrapText="1"/>
    </xf>
    <xf numFmtId="4" fontId="25" fillId="3" borderId="8" xfId="0" applyNumberFormat="1" applyFont="1" applyFill="1" applyBorder="1" applyAlignment="1">
      <alignment horizontal="center" vertical="center" wrapText="1"/>
    </xf>
    <xf numFmtId="4" fontId="25" fillId="20" borderId="8" xfId="0" applyNumberFormat="1" applyFont="1" applyFill="1" applyBorder="1" applyAlignment="1">
      <alignment horizontal="center" vertical="center" wrapText="1"/>
    </xf>
    <xf numFmtId="0" fontId="0" fillId="36" borderId="0" xfId="0" applyFill="1"/>
    <xf numFmtId="1" fontId="38" fillId="33" borderId="8" xfId="0" applyNumberFormat="1" applyFont="1" applyFill="1" applyBorder="1" applyAlignment="1">
      <alignment horizontal="center" vertical="center" wrapText="1"/>
    </xf>
    <xf numFmtId="4" fontId="28" fillId="33" borderId="8" xfId="48" applyNumberFormat="1" applyFont="1" applyFill="1" applyBorder="1" applyAlignment="1">
      <alignment horizontal="center" vertical="center" wrapText="1"/>
    </xf>
    <xf numFmtId="0" fontId="22" fillId="33" borderId="8" xfId="0" applyFont="1" applyFill="1" applyBorder="1"/>
    <xf numFmtId="1" fontId="22" fillId="33" borderId="11" xfId="0" applyNumberFormat="1" applyFont="1" applyFill="1" applyBorder="1"/>
    <xf numFmtId="1" fontId="30" fillId="37" borderId="8" xfId="0" applyNumberFormat="1" applyFont="1" applyFill="1" applyBorder="1" applyAlignment="1">
      <alignment horizontal="center" vertical="center" wrapText="1"/>
    </xf>
    <xf numFmtId="1" fontId="25" fillId="37" borderId="8" xfId="0" applyNumberFormat="1" applyFont="1" applyFill="1" applyBorder="1" applyAlignment="1">
      <alignment horizontal="center" vertical="center"/>
    </xf>
    <xf numFmtId="4" fontId="30" fillId="37" borderId="8" xfId="0" applyNumberFormat="1" applyFont="1" applyFill="1" applyBorder="1" applyAlignment="1">
      <alignment horizontal="center" vertical="center" wrapText="1"/>
    </xf>
    <xf numFmtId="4" fontId="25" fillId="37" borderId="8" xfId="0" applyNumberFormat="1" applyFont="1" applyFill="1" applyBorder="1" applyAlignment="1">
      <alignment horizontal="center" vertical="center" wrapText="1"/>
    </xf>
    <xf numFmtId="0" fontId="46" fillId="25" borderId="0" xfId="0" applyFont="1" applyFill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4" fontId="33" fillId="26" borderId="7" xfId="0" applyNumberFormat="1" applyFont="1" applyFill="1" applyBorder="1" applyAlignment="1">
      <alignment horizontal="left" vertical="center" wrapText="1"/>
    </xf>
    <xf numFmtId="4" fontId="33" fillId="27" borderId="0" xfId="0" applyNumberFormat="1" applyFont="1" applyFill="1" applyAlignment="1">
      <alignment wrapText="1"/>
    </xf>
    <xf numFmtId="4" fontId="33" fillId="6" borderId="7" xfId="0" applyNumberFormat="1" applyFont="1" applyFill="1" applyBorder="1" applyAlignment="1">
      <alignment wrapText="1"/>
    </xf>
    <xf numFmtId="165" fontId="37" fillId="29" borderId="8" xfId="48" applyNumberFormat="1" applyFont="1" applyFill="1" applyBorder="1" applyAlignment="1">
      <alignment horizontal="left" vertical="center" wrapText="1"/>
    </xf>
    <xf numFmtId="165" fontId="38" fillId="29" borderId="8" xfId="48" applyNumberFormat="1" applyFont="1" applyFill="1" applyBorder="1" applyAlignment="1">
      <alignment horizontal="left" vertical="center" wrapText="1"/>
    </xf>
    <xf numFmtId="0" fontId="37" fillId="25" borderId="8" xfId="0" applyFont="1" applyFill="1" applyBorder="1" applyAlignment="1">
      <alignment vertical="center" wrapText="1"/>
    </xf>
    <xf numFmtId="2" fontId="38" fillId="25" borderId="8" xfId="0" applyNumberFormat="1" applyFont="1" applyFill="1" applyBorder="1" applyAlignment="1">
      <alignment horizontal="left" vertical="center" wrapText="1"/>
    </xf>
    <xf numFmtId="4" fontId="24" fillId="6" borderId="8" xfId="0" applyNumberFormat="1" applyFont="1" applyFill="1" applyBorder="1" applyAlignment="1">
      <alignment horizontal="left" vertical="center" wrapText="1"/>
    </xf>
    <xf numFmtId="0" fontId="37" fillId="25" borderId="8" xfId="0" applyFont="1" applyFill="1" applyBorder="1" applyAlignment="1">
      <alignment wrapText="1"/>
    </xf>
    <xf numFmtId="49" fontId="37" fillId="25" borderId="8" xfId="0" applyNumberFormat="1" applyFont="1" applyFill="1" applyBorder="1" applyAlignment="1">
      <alignment vertical="center" wrapText="1"/>
    </xf>
    <xf numFmtId="4" fontId="37" fillId="25" borderId="8" xfId="0" applyNumberFormat="1" applyFont="1" applyFill="1" applyBorder="1" applyAlignment="1">
      <alignment horizontal="left" vertical="center" wrapText="1"/>
    </xf>
    <xf numFmtId="0" fontId="24" fillId="0" borderId="8" xfId="0" applyFont="1" applyBorder="1" applyAlignment="1">
      <alignment wrapText="1"/>
    </xf>
    <xf numFmtId="0" fontId="37" fillId="0" borderId="8" xfId="0" applyFont="1" applyBorder="1" applyAlignment="1">
      <alignment wrapText="1"/>
    </xf>
    <xf numFmtId="0" fontId="37" fillId="30" borderId="11" xfId="0" applyFont="1" applyFill="1" applyBorder="1" applyAlignment="1">
      <alignment horizontal="left" vertical="center" wrapText="1"/>
    </xf>
    <xf numFmtId="165" fontId="37" fillId="25" borderId="8" xfId="48" applyNumberFormat="1" applyFont="1" applyFill="1" applyBorder="1" applyAlignment="1">
      <alignment horizontal="left" vertical="center" wrapText="1"/>
    </xf>
    <xf numFmtId="0" fontId="38" fillId="25" borderId="8" xfId="0" applyFont="1" applyFill="1" applyBorder="1" applyAlignment="1">
      <alignment horizontal="left" vertical="center" wrapText="1"/>
    </xf>
    <xf numFmtId="0" fontId="38" fillId="25" borderId="11" xfId="0" applyFont="1" applyFill="1" applyBorder="1" applyAlignment="1">
      <alignment horizontal="left" vertical="center" wrapText="1"/>
    </xf>
    <xf numFmtId="0" fontId="37" fillId="25" borderId="7" xfId="0" applyFont="1" applyFill="1" applyBorder="1" applyAlignment="1">
      <alignment horizontal="justify" vertical="center" wrapText="1"/>
    </xf>
    <xf numFmtId="164" fontId="37" fillId="29" borderId="8" xfId="0" applyNumberFormat="1" applyFont="1" applyFill="1" applyBorder="1" applyAlignment="1">
      <alignment horizontal="left" vertical="center" wrapText="1"/>
    </xf>
    <xf numFmtId="165" fontId="37" fillId="0" borderId="8" xfId="48" applyNumberFormat="1" applyFont="1" applyBorder="1" applyAlignment="1">
      <alignment horizontal="left" vertical="center" wrapText="1"/>
    </xf>
    <xf numFmtId="0" fontId="37" fillId="25" borderId="7" xfId="0" applyFont="1" applyFill="1" applyBorder="1" applyAlignment="1">
      <alignment vertical="center" wrapText="1" shrinkToFit="1"/>
    </xf>
    <xf numFmtId="4" fontId="37" fillId="26" borderId="8" xfId="0" applyNumberFormat="1" applyFont="1" applyFill="1" applyBorder="1" applyAlignment="1">
      <alignment horizontal="left" vertical="center" wrapText="1"/>
    </xf>
    <xf numFmtId="4" fontId="33" fillId="6" borderId="8" xfId="0" applyNumberFormat="1" applyFont="1" applyFill="1" applyBorder="1" applyAlignment="1">
      <alignment wrapText="1"/>
    </xf>
    <xf numFmtId="4" fontId="46" fillId="27" borderId="8" xfId="0" applyNumberFormat="1" applyFont="1" applyFill="1" applyBorder="1"/>
    <xf numFmtId="164" fontId="24" fillId="6" borderId="8" xfId="0" applyNumberFormat="1" applyFont="1" applyFill="1" applyBorder="1" applyAlignment="1">
      <alignment horizontal="left" vertical="center" wrapText="1"/>
    </xf>
    <xf numFmtId="164" fontId="37" fillId="25" borderId="8" xfId="0" applyNumberFormat="1" applyFont="1" applyFill="1" applyBorder="1" applyAlignment="1">
      <alignment horizontal="left" vertical="center" wrapText="1"/>
    </xf>
    <xf numFmtId="164" fontId="37" fillId="27" borderId="8" xfId="0" applyNumberFormat="1" applyFont="1" applyFill="1" applyBorder="1" applyAlignment="1">
      <alignment horizontal="left" vertical="center" wrapText="1"/>
    </xf>
    <xf numFmtId="0" fontId="37" fillId="29" borderId="8" xfId="0" applyFont="1" applyFill="1" applyBorder="1" applyAlignment="1">
      <alignment vertical="center" wrapText="1"/>
    </xf>
    <xf numFmtId="0" fontId="37" fillId="25" borderId="8" xfId="0" applyFont="1" applyFill="1" applyBorder="1" applyAlignment="1">
      <alignment horizontal="justify" vertical="center" wrapText="1"/>
    </xf>
    <xf numFmtId="4" fontId="38" fillId="0" borderId="8" xfId="0" applyNumberFormat="1" applyFont="1" applyBorder="1" applyAlignment="1">
      <alignment horizontal="left" vertical="center" wrapText="1"/>
    </xf>
    <xf numFmtId="4" fontId="37" fillId="27" borderId="8" xfId="0" applyNumberFormat="1" applyFont="1" applyFill="1" applyBorder="1" applyAlignment="1">
      <alignment horizontal="left" vertical="center" wrapText="1"/>
    </xf>
    <xf numFmtId="0" fontId="37" fillId="0" borderId="8" xfId="0" applyFont="1" applyBorder="1" applyAlignment="1">
      <alignment horizontal="left" vertical="center" wrapText="1"/>
    </xf>
    <xf numFmtId="0" fontId="37" fillId="25" borderId="0" xfId="0" applyFont="1" applyFill="1" applyAlignment="1">
      <alignment vertical="center" wrapText="1"/>
    </xf>
    <xf numFmtId="0" fontId="38" fillId="25" borderId="8" xfId="0" applyFont="1" applyFill="1" applyBorder="1" applyAlignment="1">
      <alignment wrapText="1"/>
    </xf>
    <xf numFmtId="0" fontId="37" fillId="25" borderId="9" xfId="0" applyFont="1" applyFill="1" applyBorder="1" applyAlignment="1">
      <alignment vertical="center" wrapText="1"/>
    </xf>
    <xf numFmtId="0" fontId="37" fillId="25" borderId="8" xfId="55" applyFont="1" applyFill="1" applyBorder="1" applyAlignment="1">
      <alignment vertical="center" wrapText="1"/>
    </xf>
    <xf numFmtId="4" fontId="38" fillId="25" borderId="8" xfId="0" applyNumberFormat="1" applyFont="1" applyFill="1" applyBorder="1" applyAlignment="1">
      <alignment horizontal="left" vertical="center" wrapText="1"/>
    </xf>
    <xf numFmtId="0" fontId="37" fillId="25" borderId="8" xfId="55" applyFont="1" applyFill="1" applyBorder="1" applyAlignment="1">
      <alignment horizontal="left" vertical="center" wrapText="1"/>
    </xf>
    <xf numFmtId="4" fontId="37" fillId="0" borderId="8" xfId="0" applyNumberFormat="1" applyFont="1" applyBorder="1" applyAlignment="1">
      <alignment horizontal="left" vertical="center" wrapText="1"/>
    </xf>
    <xf numFmtId="165" fontId="38" fillId="29" borderId="8" xfId="48" applyNumberFormat="1" applyFont="1" applyFill="1" applyBorder="1" applyAlignment="1">
      <alignment horizontal="left" vertical="center"/>
    </xf>
    <xf numFmtId="165" fontId="38" fillId="30" borderId="8" xfId="48" applyNumberFormat="1" applyFont="1" applyFill="1" applyBorder="1" applyAlignment="1">
      <alignment horizontal="left" vertical="center" wrapText="1"/>
    </xf>
    <xf numFmtId="0" fontId="37" fillId="27" borderId="8" xfId="0" applyFont="1" applyFill="1" applyBorder="1" applyAlignment="1">
      <alignment horizontal="left" vertical="center" wrapText="1"/>
    </xf>
    <xf numFmtId="0" fontId="37" fillId="30" borderId="8" xfId="0" applyFont="1" applyFill="1" applyBorder="1" applyAlignment="1">
      <alignment horizontal="left" vertical="center" wrapText="1"/>
    </xf>
    <xf numFmtId="0" fontId="38" fillId="31" borderId="11" xfId="0" applyFont="1" applyFill="1" applyBorder="1" applyAlignment="1">
      <alignment horizontal="left" vertical="center" wrapText="1"/>
    </xf>
    <xf numFmtId="0" fontId="37" fillId="25" borderId="11" xfId="0" applyFont="1" applyFill="1" applyBorder="1" applyAlignment="1">
      <alignment horizontal="left" vertical="center" wrapText="1"/>
    </xf>
    <xf numFmtId="0" fontId="37" fillId="29" borderId="8" xfId="0" applyFont="1" applyFill="1" applyBorder="1" applyAlignment="1">
      <alignment wrapText="1"/>
    </xf>
    <xf numFmtId="0" fontId="38" fillId="25" borderId="8" xfId="0" applyFont="1" applyFill="1" applyBorder="1" applyAlignment="1">
      <alignment vertical="center" wrapText="1"/>
    </xf>
    <xf numFmtId="0" fontId="38" fillId="30" borderId="8" xfId="0" applyFont="1" applyFill="1" applyBorder="1" applyAlignment="1">
      <alignment vertical="center" wrapText="1"/>
    </xf>
    <xf numFmtId="0" fontId="38" fillId="30" borderId="8" xfId="0" applyFont="1" applyFill="1" applyBorder="1" applyAlignment="1">
      <alignment horizontal="left" vertical="center" wrapText="1"/>
    </xf>
    <xf numFmtId="0" fontId="72" fillId="25" borderId="8" xfId="0" applyFont="1" applyFill="1" applyBorder="1" applyAlignment="1">
      <alignment wrapText="1"/>
    </xf>
    <xf numFmtId="0" fontId="46" fillId="0" borderId="8" xfId="0" applyFont="1" applyBorder="1"/>
    <xf numFmtId="165" fontId="37" fillId="30" borderId="8" xfId="48" applyNumberFormat="1" applyFont="1" applyFill="1" applyBorder="1" applyAlignment="1">
      <alignment horizontal="left" vertical="center" wrapText="1"/>
    </xf>
    <xf numFmtId="4" fontId="38" fillId="0" borderId="8" xfId="0" applyNumberFormat="1" applyFont="1" applyBorder="1" applyAlignment="1">
      <alignment vertical="center" wrapText="1"/>
    </xf>
    <xf numFmtId="4" fontId="38" fillId="27" borderId="8" xfId="0" applyNumberFormat="1" applyFont="1" applyFill="1" applyBorder="1" applyAlignment="1">
      <alignment vertical="center" wrapText="1"/>
    </xf>
    <xf numFmtId="0" fontId="38" fillId="31" borderId="8" xfId="0" applyFont="1" applyFill="1" applyBorder="1" applyAlignment="1">
      <alignment wrapText="1"/>
    </xf>
    <xf numFmtId="0" fontId="38" fillId="31" borderId="8" xfId="0" applyFont="1" applyFill="1" applyBorder="1" applyAlignment="1">
      <alignment horizontal="justify" vertical="center" wrapText="1"/>
    </xf>
    <xf numFmtId="0" fontId="38" fillId="29" borderId="8" xfId="0" applyFont="1" applyFill="1" applyBorder="1" applyAlignment="1">
      <alignment vertical="center" wrapText="1"/>
    </xf>
    <xf numFmtId="0" fontId="38" fillId="31" borderId="8" xfId="0" applyFont="1" applyFill="1" applyBorder="1" applyAlignment="1">
      <alignment vertical="center" wrapText="1"/>
    </xf>
    <xf numFmtId="0" fontId="38" fillId="0" borderId="8" xfId="0" applyFont="1" applyBorder="1" applyAlignment="1">
      <alignment wrapText="1"/>
    </xf>
    <xf numFmtId="0" fontId="33" fillId="6" borderId="8" xfId="0" applyFont="1" applyFill="1" applyBorder="1" applyAlignment="1">
      <alignment wrapText="1"/>
    </xf>
    <xf numFmtId="165" fontId="38" fillId="34" borderId="8" xfId="48" applyNumberFormat="1" applyFont="1" applyFill="1" applyBorder="1" applyAlignment="1">
      <alignment horizontal="left" vertical="center" wrapText="1"/>
    </xf>
    <xf numFmtId="165" fontId="38" fillId="31" borderId="8" xfId="48" applyNumberFormat="1" applyFont="1" applyFill="1" applyBorder="1" applyAlignment="1">
      <alignment horizontal="left" vertical="center" wrapText="1"/>
    </xf>
    <xf numFmtId="165" fontId="38" fillId="25" borderId="8" xfId="48" applyNumberFormat="1" applyFont="1" applyFill="1" applyBorder="1" applyAlignment="1">
      <alignment horizontal="left" vertical="center"/>
    </xf>
    <xf numFmtId="0" fontId="38" fillId="0" borderId="8" xfId="0" applyFont="1" applyBorder="1" applyAlignment="1">
      <alignment vertical="center" wrapText="1"/>
    </xf>
    <xf numFmtId="0" fontId="37" fillId="0" borderId="8" xfId="0" applyFont="1" applyBorder="1" applyAlignment="1">
      <alignment horizontal="left" wrapText="1"/>
    </xf>
    <xf numFmtId="0" fontId="38" fillId="31" borderId="8" xfId="55" applyFont="1" applyFill="1" applyBorder="1" applyAlignment="1">
      <alignment horizontal="left" vertical="center" wrapText="1"/>
    </xf>
    <xf numFmtId="4" fontId="46" fillId="27" borderId="8" xfId="0" applyNumberFormat="1" applyFont="1" applyFill="1" applyBorder="1" applyAlignment="1">
      <alignment vertical="center"/>
    </xf>
    <xf numFmtId="4" fontId="33" fillId="6" borderId="8" xfId="0" applyNumberFormat="1" applyFont="1" applyFill="1" applyBorder="1" applyAlignment="1">
      <alignment vertical="center" wrapText="1"/>
    </xf>
    <xf numFmtId="4" fontId="38" fillId="25" borderId="8" xfId="0" applyNumberFormat="1" applyFont="1" applyFill="1" applyBorder="1" applyAlignment="1">
      <alignment vertical="center" wrapText="1"/>
    </xf>
    <xf numFmtId="4" fontId="46" fillId="27" borderId="0" xfId="0" applyNumberFormat="1" applyFont="1" applyFill="1" applyAlignment="1">
      <alignment vertical="center"/>
    </xf>
    <xf numFmtId="4" fontId="33" fillId="27" borderId="8" xfId="0" applyNumberFormat="1" applyFont="1" applyFill="1" applyBorder="1" applyAlignment="1">
      <alignment wrapText="1"/>
    </xf>
    <xf numFmtId="4" fontId="33" fillId="25" borderId="8" xfId="0" applyNumberFormat="1" applyFont="1" applyFill="1" applyBorder="1" applyAlignment="1">
      <alignment wrapText="1"/>
    </xf>
    <xf numFmtId="0" fontId="37" fillId="27" borderId="8" xfId="0" applyFont="1" applyFill="1" applyBorder="1" applyAlignment="1">
      <alignment vertical="center" wrapText="1"/>
    </xf>
    <xf numFmtId="4" fontId="38" fillId="25" borderId="8" xfId="48" applyNumberFormat="1" applyFont="1" applyFill="1" applyBorder="1" applyAlignment="1">
      <alignment horizontal="left" vertical="center" wrapText="1"/>
    </xf>
    <xf numFmtId="0" fontId="37" fillId="25" borderId="11" xfId="0" applyFont="1" applyFill="1" applyBorder="1" applyAlignment="1">
      <alignment vertical="center" wrapText="1"/>
    </xf>
    <xf numFmtId="4" fontId="37" fillId="25" borderId="8" xfId="0" applyNumberFormat="1" applyFont="1" applyFill="1" applyBorder="1" applyAlignment="1">
      <alignment wrapText="1"/>
    </xf>
    <xf numFmtId="0" fontId="58" fillId="0" borderId="9" xfId="0" applyFont="1" applyBorder="1" applyAlignment="1">
      <alignment horizontal="left" vertical="center" wrapText="1"/>
    </xf>
    <xf numFmtId="0" fontId="38" fillId="31" borderId="8" xfId="0" applyFont="1" applyFill="1" applyBorder="1" applyAlignment="1">
      <alignment horizontal="left" vertical="center" wrapText="1"/>
    </xf>
    <xf numFmtId="0" fontId="37" fillId="30" borderId="0" xfId="0" applyFont="1" applyFill="1" applyAlignment="1">
      <alignment wrapText="1"/>
    </xf>
    <xf numFmtId="0" fontId="37" fillId="30" borderId="8" xfId="0" applyFont="1" applyFill="1" applyBorder="1" applyAlignment="1">
      <alignment vertical="center" wrapText="1"/>
    </xf>
    <xf numFmtId="0" fontId="38" fillId="29" borderId="8" xfId="54" applyFont="1" applyFill="1" applyBorder="1" applyAlignment="1">
      <alignment horizontal="left" vertical="center" wrapText="1"/>
    </xf>
    <xf numFmtId="0" fontId="37" fillId="29" borderId="8" xfId="0" applyFont="1" applyFill="1" applyBorder="1" applyAlignment="1">
      <alignment horizontal="left" vertical="center" wrapText="1"/>
    </xf>
    <xf numFmtId="0" fontId="38" fillId="29" borderId="8" xfId="0" applyFont="1" applyFill="1" applyBorder="1" applyAlignment="1">
      <alignment horizontal="justify" vertical="center" wrapText="1"/>
    </xf>
    <xf numFmtId="0" fontId="58" fillId="0" borderId="8" xfId="0" applyFont="1" applyBorder="1" applyAlignment="1">
      <alignment horizontal="left" vertical="center" wrapText="1"/>
    </xf>
    <xf numFmtId="0" fontId="38" fillId="31" borderId="0" xfId="0" applyFont="1" applyFill="1" applyAlignment="1">
      <alignment vertical="center" wrapText="1"/>
    </xf>
    <xf numFmtId="0" fontId="38" fillId="29" borderId="8" xfId="0" applyFont="1" applyFill="1" applyBorder="1" applyAlignment="1">
      <alignment horizontal="left" vertical="center" wrapText="1"/>
    </xf>
    <xf numFmtId="0" fontId="74" fillId="29" borderId="8" xfId="0" applyFont="1" applyFill="1" applyBorder="1" applyAlignment="1">
      <alignment horizontal="left" vertical="center" wrapText="1"/>
    </xf>
    <xf numFmtId="4" fontId="38" fillId="29" borderId="8" xfId="0" applyNumberFormat="1" applyFont="1" applyFill="1" applyBorder="1" applyAlignment="1">
      <alignment horizontal="left" vertical="center" wrapText="1"/>
    </xf>
    <xf numFmtId="0" fontId="74" fillId="0" borderId="8" xfId="0" applyFont="1" applyBorder="1" applyAlignment="1">
      <alignment horizontal="left" vertical="center" wrapText="1"/>
    </xf>
    <xf numFmtId="0" fontId="38" fillId="34" borderId="8" xfId="0" applyFont="1" applyFill="1" applyBorder="1" applyAlignment="1">
      <alignment vertical="center" wrapText="1"/>
    </xf>
    <xf numFmtId="4" fontId="38" fillId="25" borderId="8" xfId="0" applyNumberFormat="1" applyFont="1" applyFill="1" applyBorder="1" applyAlignment="1">
      <alignment wrapText="1"/>
    </xf>
    <xf numFmtId="0" fontId="37" fillId="28" borderId="8" xfId="0" applyFont="1" applyFill="1" applyBorder="1" applyAlignment="1">
      <alignment vertical="center" wrapText="1"/>
    </xf>
    <xf numFmtId="0" fontId="37" fillId="28" borderId="0" xfId="0" applyFont="1" applyFill="1" applyAlignment="1">
      <alignment vertical="center" wrapText="1"/>
    </xf>
    <xf numFmtId="4" fontId="33" fillId="6" borderId="9" xfId="0" applyNumberFormat="1" applyFont="1" applyFill="1" applyBorder="1" applyAlignment="1">
      <alignment wrapText="1"/>
    </xf>
    <xf numFmtId="0" fontId="37" fillId="25" borderId="0" xfId="0" applyFont="1" applyFill="1" applyAlignment="1">
      <alignment wrapText="1"/>
    </xf>
    <xf numFmtId="0" fontId="37" fillId="29" borderId="0" xfId="0" applyFont="1" applyFill="1" applyAlignment="1">
      <alignment vertical="center" wrapText="1"/>
    </xf>
    <xf numFmtId="0" fontId="38" fillId="31" borderId="8" xfId="54" applyFont="1" applyFill="1" applyBorder="1" applyAlignment="1">
      <alignment horizontal="left" vertical="center" wrapText="1"/>
    </xf>
    <xf numFmtId="0" fontId="38" fillId="31" borderId="9" xfId="0" applyFont="1" applyFill="1" applyBorder="1" applyAlignment="1">
      <alignment vertical="center" wrapText="1"/>
    </xf>
    <xf numFmtId="0" fontId="38" fillId="31" borderId="11" xfId="0" applyFont="1" applyFill="1" applyBorder="1" applyAlignment="1">
      <alignment vertical="center" wrapText="1"/>
    </xf>
    <xf numFmtId="4" fontId="37" fillId="31" borderId="8" xfId="0" applyNumberFormat="1" applyFont="1" applyFill="1" applyBorder="1" applyAlignment="1">
      <alignment horizontal="left" wrapText="1"/>
    </xf>
    <xf numFmtId="4" fontId="37" fillId="0" borderId="8" xfId="0" applyNumberFormat="1" applyFont="1" applyBorder="1" applyAlignment="1">
      <alignment horizontal="left" wrapText="1"/>
    </xf>
    <xf numFmtId="0" fontId="38" fillId="35" borderId="8" xfId="0" applyFont="1" applyFill="1" applyBorder="1" applyAlignment="1">
      <alignment horizontal="left" vertical="center" wrapText="1"/>
    </xf>
    <xf numFmtId="4" fontId="33" fillId="32" borderId="8" xfId="0" applyNumberFormat="1" applyFont="1" applyFill="1" applyBorder="1" applyAlignment="1">
      <alignment horizontal="left" vertical="center" wrapText="1"/>
    </xf>
    <xf numFmtId="0" fontId="24" fillId="25" borderId="8" xfId="0" applyFont="1" applyFill="1" applyBorder="1" applyAlignment="1">
      <alignment horizontal="left" vertical="center" wrapText="1"/>
    </xf>
    <xf numFmtId="0" fontId="37" fillId="20" borderId="8" xfId="0" applyFont="1" applyFill="1" applyBorder="1" applyAlignment="1">
      <alignment horizontal="left" vertical="center" wrapText="1"/>
    </xf>
    <xf numFmtId="165" fontId="38" fillId="0" borderId="8" xfId="48" applyNumberFormat="1" applyFont="1" applyBorder="1" applyAlignment="1">
      <alignment horizontal="left" vertical="center" wrapText="1"/>
    </xf>
    <xf numFmtId="4" fontId="24" fillId="0" borderId="0" xfId="0" applyNumberFormat="1" applyFont="1" applyAlignment="1">
      <alignment horizontal="center" wrapText="1"/>
    </xf>
    <xf numFmtId="0" fontId="38" fillId="0" borderId="8" xfId="0" applyFont="1" applyBorder="1" applyAlignment="1">
      <alignment horizontal="center" vertical="center" wrapText="1"/>
    </xf>
    <xf numFmtId="165" fontId="38" fillId="25" borderId="8" xfId="48" applyNumberFormat="1" applyFont="1" applyFill="1" applyBorder="1" applyAlignment="1">
      <alignment horizontal="left" vertical="center" wrapText="1"/>
    </xf>
    <xf numFmtId="0" fontId="33" fillId="6" borderId="8" xfId="0" applyFont="1" applyFill="1" applyBorder="1" applyAlignment="1">
      <alignment horizontal="left" vertical="center" wrapText="1"/>
    </xf>
    <xf numFmtId="4" fontId="24" fillId="0" borderId="0" xfId="0" applyNumberFormat="1" applyFont="1"/>
    <xf numFmtId="4" fontId="74" fillId="0" borderId="8" xfId="0" applyNumberFormat="1" applyFont="1" applyBorder="1" applyAlignment="1">
      <alignment vertical="center" wrapText="1"/>
    </xf>
    <xf numFmtId="4" fontId="33" fillId="33" borderId="8" xfId="0" applyNumberFormat="1" applyFont="1" applyFill="1" applyBorder="1" applyAlignment="1">
      <alignment wrapText="1"/>
    </xf>
    <xf numFmtId="4" fontId="74" fillId="31" borderId="8" xfId="0" applyNumberFormat="1" applyFont="1" applyFill="1" applyBorder="1" applyAlignment="1">
      <alignment vertical="center" wrapText="1"/>
    </xf>
    <xf numFmtId="0" fontId="74" fillId="31" borderId="8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 wrapText="1"/>
    </xf>
    <xf numFmtId="4" fontId="33" fillId="6" borderId="8" xfId="0" applyNumberFormat="1" applyFont="1" applyFill="1" applyBorder="1" applyAlignment="1">
      <alignment horizontal="left" vertical="center" wrapText="1"/>
    </xf>
    <xf numFmtId="4" fontId="33" fillId="0" borderId="8" xfId="0" applyNumberFormat="1" applyFont="1" applyBorder="1" applyAlignment="1">
      <alignment horizontal="left" vertical="center" wrapText="1"/>
    </xf>
    <xf numFmtId="0" fontId="46" fillId="0" borderId="8" xfId="0" applyFont="1" applyBorder="1" applyAlignment="1">
      <alignment horizontal="center" vertical="center" wrapText="1"/>
    </xf>
    <xf numFmtId="4" fontId="46" fillId="0" borderId="0" xfId="0" applyNumberFormat="1" applyFont="1" applyAlignment="1">
      <alignment horizontal="center" vertical="center" wrapText="1"/>
    </xf>
    <xf numFmtId="4" fontId="33" fillId="25" borderId="7" xfId="0" applyNumberFormat="1" applyFont="1" applyFill="1" applyBorder="1" applyAlignment="1">
      <alignment wrapText="1"/>
    </xf>
    <xf numFmtId="4" fontId="38" fillId="0" borderId="9" xfId="0" applyNumberFormat="1" applyFont="1" applyBorder="1" applyAlignment="1">
      <alignment horizontal="center" vertical="center" wrapText="1"/>
    </xf>
    <xf numFmtId="4" fontId="37" fillId="25" borderId="8" xfId="0" applyNumberFormat="1" applyFont="1" applyFill="1" applyBorder="1" applyAlignment="1">
      <alignment vertical="center" wrapText="1"/>
    </xf>
    <xf numFmtId="4" fontId="37" fillId="22" borderId="8" xfId="0" applyNumberFormat="1" applyFont="1" applyFill="1" applyBorder="1" applyAlignment="1">
      <alignment vertical="center" wrapText="1"/>
    </xf>
    <xf numFmtId="2" fontId="37" fillId="25" borderId="11" xfId="0" applyNumberFormat="1" applyFont="1" applyFill="1" applyBorder="1" applyAlignment="1">
      <alignment horizontal="left" vertical="center" wrapText="1"/>
    </xf>
    <xf numFmtId="0" fontId="38" fillId="25" borderId="11" xfId="0" applyFont="1" applyFill="1" applyBorder="1" applyAlignment="1">
      <alignment horizontal="left" vertical="top" wrapText="1"/>
    </xf>
    <xf numFmtId="0" fontId="38" fillId="25" borderId="8" xfId="0" applyFont="1" applyFill="1" applyBorder="1" applyAlignment="1">
      <alignment horizontal="left" vertical="top" wrapText="1"/>
    </xf>
    <xf numFmtId="0" fontId="38" fillId="0" borderId="8" xfId="0" applyFont="1" applyBorder="1" applyAlignment="1">
      <alignment horizontal="left" vertical="center" wrapText="1"/>
    </xf>
    <xf numFmtId="4" fontId="37" fillId="0" borderId="8" xfId="0" applyNumberFormat="1" applyFont="1" applyBorder="1" applyAlignment="1">
      <alignment vertical="center" wrapText="1"/>
    </xf>
    <xf numFmtId="4" fontId="24" fillId="25" borderId="0" xfId="0" applyNumberFormat="1" applyFont="1" applyFill="1" applyAlignment="1">
      <alignment horizontal="left" vertical="center" wrapText="1"/>
    </xf>
    <xf numFmtId="4" fontId="38" fillId="22" borderId="8" xfId="0" applyNumberFormat="1" applyFont="1" applyFill="1" applyBorder="1" applyAlignment="1">
      <alignment horizontal="left" vertical="center" wrapText="1"/>
    </xf>
    <xf numFmtId="49" fontId="37" fillId="0" borderId="8" xfId="48" applyNumberFormat="1" applyFont="1" applyBorder="1" applyAlignment="1">
      <alignment horizontal="left" vertical="center" wrapText="1"/>
    </xf>
    <xf numFmtId="4" fontId="38" fillId="0" borderId="9" xfId="0" applyNumberFormat="1" applyFont="1" applyBorder="1" applyAlignment="1">
      <alignment horizontal="left" vertical="center" wrapText="1"/>
    </xf>
    <xf numFmtId="0" fontId="24" fillId="0" borderId="0" xfId="0" applyFont="1" applyAlignment="1">
      <alignment horizontal="center" wrapText="1"/>
    </xf>
    <xf numFmtId="0" fontId="73" fillId="31" borderId="0" xfId="0" applyFont="1" applyFill="1" applyAlignment="1">
      <alignment vertical="center" wrapText="1"/>
    </xf>
    <xf numFmtId="0" fontId="73" fillId="31" borderId="8" xfId="0" applyFont="1" applyFill="1" applyBorder="1" applyAlignment="1">
      <alignment vertical="center" wrapText="1"/>
    </xf>
    <xf numFmtId="0" fontId="73" fillId="35" borderId="8" xfId="0" applyFont="1" applyFill="1" applyBorder="1" applyAlignment="1">
      <alignment horizontal="left" vertical="center" wrapText="1"/>
    </xf>
    <xf numFmtId="0" fontId="75" fillId="34" borderId="16" xfId="0" applyFont="1" applyFill="1" applyBorder="1" applyAlignment="1">
      <alignment horizontal="left" vertical="center" wrapText="1"/>
    </xf>
    <xf numFmtId="4" fontId="76" fillId="25" borderId="8" xfId="48" applyNumberFormat="1" applyFont="1" applyFill="1" applyBorder="1" applyAlignment="1">
      <alignment horizontal="center" vertical="center" wrapText="1"/>
    </xf>
    <xf numFmtId="4" fontId="77" fillId="27" borderId="8" xfId="48" applyNumberFormat="1" applyFont="1" applyFill="1" applyBorder="1" applyAlignment="1">
      <alignment horizontal="center" vertical="center" wrapText="1"/>
    </xf>
    <xf numFmtId="4" fontId="77" fillId="6" borderId="8" xfId="48" applyNumberFormat="1" applyFont="1" applyFill="1" applyBorder="1" applyAlignment="1">
      <alignment horizontal="center" vertical="center" wrapText="1"/>
    </xf>
    <xf numFmtId="0" fontId="79" fillId="39" borderId="8" xfId="0" applyFont="1" applyFill="1" applyBorder="1" applyAlignment="1">
      <alignment horizontal="left" vertical="center" wrapText="1"/>
    </xf>
    <xf numFmtId="0" fontId="24" fillId="40" borderId="8" xfId="0" applyFont="1" applyFill="1" applyBorder="1" applyAlignment="1">
      <alignment horizontal="center" vertical="center" wrapText="1"/>
    </xf>
    <xf numFmtId="4" fontId="24" fillId="40" borderId="8" xfId="0" applyNumberFormat="1" applyFont="1" applyFill="1" applyBorder="1" applyAlignment="1">
      <alignment horizontal="center" vertical="center" wrapText="1"/>
    </xf>
    <xf numFmtId="4" fontId="24" fillId="41" borderId="8" xfId="0" applyNumberFormat="1" applyFont="1" applyFill="1" applyBorder="1" applyAlignment="1">
      <alignment horizontal="center" vertical="center" wrapText="1"/>
    </xf>
    <xf numFmtId="1" fontId="45" fillId="33" borderId="8" xfId="0" applyNumberFormat="1" applyFont="1" applyFill="1" applyBorder="1" applyAlignment="1">
      <alignment horizontal="center" vertical="center" wrapText="1"/>
    </xf>
    <xf numFmtId="1" fontId="0" fillId="33" borderId="8" xfId="0" applyNumberFormat="1" applyFill="1" applyBorder="1"/>
    <xf numFmtId="4" fontId="20" fillId="33" borderId="0" xfId="0" applyNumberFormat="1" applyFont="1" applyFill="1"/>
    <xf numFmtId="0" fontId="20" fillId="33" borderId="0" xfId="0" applyFont="1" applyFill="1"/>
    <xf numFmtId="0" fontId="0" fillId="33" borderId="0" xfId="0" applyFill="1"/>
    <xf numFmtId="0" fontId="76" fillId="35" borderId="11" xfId="0" applyFont="1" applyFill="1" applyBorder="1" applyAlignment="1">
      <alignment horizontal="left" vertical="center" wrapText="1"/>
    </xf>
    <xf numFmtId="0" fontId="27" fillId="31" borderId="8" xfId="0" applyFont="1" applyFill="1" applyBorder="1" applyAlignment="1">
      <alignment horizontal="left" vertical="center" wrapText="1"/>
    </xf>
    <xf numFmtId="0" fontId="76" fillId="31" borderId="8" xfId="0" applyFont="1" applyFill="1" applyBorder="1" applyAlignment="1">
      <alignment vertical="center" wrapText="1"/>
    </xf>
    <xf numFmtId="0" fontId="27" fillId="31" borderId="0" xfId="0" applyFont="1" applyFill="1" applyAlignment="1">
      <alignment vertical="center" wrapText="1"/>
    </xf>
    <xf numFmtId="1" fontId="45" fillId="25" borderId="17" xfId="0" applyNumberFormat="1" applyFont="1" applyFill="1" applyBorder="1" applyAlignment="1">
      <alignment horizontal="center" vertical="center" wrapText="1"/>
    </xf>
    <xf numFmtId="1" fontId="30" fillId="25" borderId="17" xfId="0" applyNumberFormat="1" applyFont="1" applyFill="1" applyBorder="1" applyAlignment="1">
      <alignment horizontal="center" vertical="center" wrapText="1"/>
    </xf>
    <xf numFmtId="4" fontId="38" fillId="25" borderId="17" xfId="0" applyNumberFormat="1" applyFont="1" applyFill="1" applyBorder="1" applyAlignment="1">
      <alignment horizontal="left" vertical="center" wrapText="1"/>
    </xf>
    <xf numFmtId="4" fontId="28" fillId="25" borderId="17" xfId="48" applyNumberFormat="1" applyFont="1" applyFill="1" applyBorder="1" applyAlignment="1">
      <alignment horizontal="center" vertical="center" wrapText="1"/>
    </xf>
    <xf numFmtId="4" fontId="28" fillId="25" borderId="17" xfId="0" applyNumberFormat="1" applyFont="1" applyFill="1" applyBorder="1" applyAlignment="1">
      <alignment horizontal="center" vertical="center" wrapText="1"/>
    </xf>
    <xf numFmtId="4" fontId="25" fillId="24" borderId="17" xfId="0" applyNumberFormat="1" applyFont="1" applyFill="1" applyBorder="1" applyAlignment="1">
      <alignment horizontal="center" vertical="center" wrapText="1"/>
    </xf>
    <xf numFmtId="0" fontId="38" fillId="31" borderId="17" xfId="55" applyFont="1" applyFill="1" applyBorder="1" applyAlignment="1">
      <alignment horizontal="left" vertical="center" wrapText="1"/>
    </xf>
    <xf numFmtId="4" fontId="27" fillId="25" borderId="17" xfId="48" applyNumberFormat="1" applyFont="1" applyFill="1" applyBorder="1" applyAlignment="1">
      <alignment horizontal="center" vertical="center" wrapText="1"/>
    </xf>
    <xf numFmtId="0" fontId="22" fillId="33" borderId="17" xfId="0" applyFont="1" applyFill="1" applyBorder="1"/>
    <xf numFmtId="1" fontId="38" fillId="33" borderId="17" xfId="0" applyNumberFormat="1" applyFont="1" applyFill="1" applyBorder="1" applyAlignment="1">
      <alignment horizontal="center" vertical="center" wrapText="1"/>
    </xf>
    <xf numFmtId="4" fontId="28" fillId="33" borderId="17" xfId="48" applyNumberFormat="1" applyFont="1" applyFill="1" applyBorder="1" applyAlignment="1">
      <alignment horizontal="center" vertical="center" wrapText="1"/>
    </xf>
    <xf numFmtId="4" fontId="25" fillId="24" borderId="17" xfId="48" applyNumberFormat="1" applyFont="1" applyFill="1" applyBorder="1" applyAlignment="1">
      <alignment horizontal="center" vertical="center" wrapText="1"/>
    </xf>
    <xf numFmtId="0" fontId="45" fillId="25" borderId="17" xfId="0" applyFont="1" applyFill="1" applyBorder="1" applyAlignment="1">
      <alignment horizontal="center" vertical="center" wrapText="1"/>
    </xf>
    <xf numFmtId="4" fontId="38" fillId="25" borderId="17" xfId="0" applyNumberFormat="1" applyFont="1" applyFill="1" applyBorder="1" applyAlignment="1">
      <alignment horizontal="center" vertical="center" wrapText="1"/>
    </xf>
    <xf numFmtId="4" fontId="71" fillId="31" borderId="17" xfId="0" applyNumberFormat="1" applyFont="1" applyFill="1" applyBorder="1" applyAlignment="1">
      <alignment horizontal="center" vertical="center"/>
    </xf>
    <xf numFmtId="4" fontId="28" fillId="24" borderId="17" xfId="0" applyNumberFormat="1" applyFont="1" applyFill="1" applyBorder="1" applyAlignment="1">
      <alignment horizontal="center" vertical="center" wrapText="1"/>
    </xf>
    <xf numFmtId="4" fontId="76" fillId="25" borderId="17" xfId="48" applyNumberFormat="1" applyFont="1" applyFill="1" applyBorder="1" applyAlignment="1">
      <alignment horizontal="center" vertical="center" wrapText="1"/>
    </xf>
    <xf numFmtId="1" fontId="24" fillId="25" borderId="17" xfId="0" applyNumberFormat="1" applyFont="1" applyFill="1" applyBorder="1" applyAlignment="1">
      <alignment horizontal="center" vertical="center" wrapText="1"/>
    </xf>
    <xf numFmtId="1" fontId="0" fillId="0" borderId="17" xfId="0" applyNumberFormat="1" applyBorder="1"/>
    <xf numFmtId="4" fontId="28" fillId="25" borderId="17" xfId="0" applyNumberFormat="1" applyFont="1" applyFill="1" applyBorder="1" applyAlignment="1">
      <alignment horizontal="center" vertical="center"/>
    </xf>
    <xf numFmtId="4" fontId="82" fillId="25" borderId="17" xfId="48" applyNumberFormat="1" applyFont="1" applyFill="1" applyBorder="1" applyAlignment="1">
      <alignment horizontal="center" vertical="center" wrapText="1"/>
    </xf>
    <xf numFmtId="4" fontId="83" fillId="25" borderId="8" xfId="0" applyNumberFormat="1" applyFont="1" applyFill="1" applyBorder="1" applyAlignment="1">
      <alignment horizontal="center" vertical="center" wrapText="1"/>
    </xf>
    <xf numFmtId="0" fontId="28" fillId="31" borderId="17" xfId="0" applyFont="1" applyFill="1" applyBorder="1" applyAlignment="1">
      <alignment vertical="center" wrapText="1"/>
    </xf>
    <xf numFmtId="0" fontId="76" fillId="31" borderId="17" xfId="0" applyFont="1" applyFill="1" applyBorder="1" applyAlignment="1">
      <alignment vertical="center" wrapText="1"/>
    </xf>
    <xf numFmtId="49" fontId="76" fillId="31" borderId="0" xfId="0" applyNumberFormat="1" applyFont="1" applyFill="1" applyAlignment="1">
      <alignment vertical="center" wrapText="1"/>
    </xf>
    <xf numFmtId="165" fontId="27" fillId="31" borderId="18" xfId="48" applyNumberFormat="1" applyFont="1" applyFill="1" applyBorder="1" applyAlignment="1">
      <alignment horizontal="left" vertical="center" wrapText="1"/>
    </xf>
    <xf numFmtId="165" fontId="27" fillId="31" borderId="17" xfId="48" applyNumberFormat="1" applyFont="1" applyFill="1" applyBorder="1" applyAlignment="1">
      <alignment horizontal="left" vertical="center" wrapText="1"/>
    </xf>
    <xf numFmtId="4" fontId="38" fillId="31" borderId="8" xfId="0" applyNumberFormat="1" applyFont="1" applyFill="1" applyBorder="1" applyAlignment="1">
      <alignment vertical="center" wrapText="1"/>
    </xf>
    <xf numFmtId="0" fontId="76" fillId="31" borderId="17" xfId="0" applyFont="1" applyFill="1" applyBorder="1" applyAlignment="1">
      <alignment horizontal="left" vertical="center" wrapText="1"/>
    </xf>
    <xf numFmtId="0" fontId="81" fillId="31" borderId="17" xfId="0" applyFont="1" applyFill="1" applyBorder="1" applyAlignment="1">
      <alignment vertical="center" wrapText="1"/>
    </xf>
    <xf numFmtId="0" fontId="28" fillId="31" borderId="0" xfId="0" applyFont="1" applyFill="1" applyAlignment="1">
      <alignment vertical="center" wrapText="1"/>
    </xf>
    <xf numFmtId="0" fontId="37" fillId="31" borderId="17" xfId="0" applyFont="1" applyFill="1" applyBorder="1" applyAlignment="1">
      <alignment vertical="center" wrapText="1"/>
    </xf>
    <xf numFmtId="4" fontId="67" fillId="0" borderId="8" xfId="0" applyNumberFormat="1" applyFont="1" applyBorder="1"/>
    <xf numFmtId="4" fontId="64" fillId="0" borderId="8" xfId="0" applyNumberFormat="1" applyFont="1" applyBorder="1"/>
    <xf numFmtId="3" fontId="64" fillId="0" borderId="8" xfId="0" applyNumberFormat="1" applyFont="1" applyBorder="1"/>
    <xf numFmtId="4" fontId="67" fillId="27" borderId="8" xfId="0" applyNumberFormat="1" applyFont="1" applyFill="1" applyBorder="1"/>
    <xf numFmtId="4" fontId="24" fillId="24" borderId="17" xfId="0" applyNumberFormat="1" applyFont="1" applyFill="1" applyBorder="1" applyAlignment="1">
      <alignment horizontal="center" vertical="center" wrapText="1"/>
    </xf>
    <xf numFmtId="0" fontId="24" fillId="42" borderId="17" xfId="0" applyFont="1" applyFill="1" applyBorder="1" applyAlignment="1">
      <alignment horizontal="center" vertical="center" wrapText="1"/>
    </xf>
    <xf numFmtId="4" fontId="24" fillId="42" borderId="17" xfId="0" applyNumberFormat="1" applyFont="1" applyFill="1" applyBorder="1" applyAlignment="1">
      <alignment horizontal="center" vertical="center" wrapText="1"/>
    </xf>
    <xf numFmtId="4" fontId="24" fillId="42" borderId="17" xfId="0" applyNumberFormat="1" applyFont="1" applyFill="1" applyBorder="1" applyAlignment="1">
      <alignment horizontal="left" vertical="center" wrapText="1"/>
    </xf>
    <xf numFmtId="4" fontId="35" fillId="0" borderId="10" xfId="0" applyNumberFormat="1" applyFont="1" applyBorder="1" applyAlignment="1">
      <alignment horizontal="left" wrapText="1"/>
    </xf>
    <xf numFmtId="4" fontId="37" fillId="32" borderId="8" xfId="48" applyNumberFormat="1" applyFont="1" applyFill="1" applyBorder="1" applyAlignment="1">
      <alignment horizontal="center" vertical="center"/>
    </xf>
    <xf numFmtId="4" fontId="48" fillId="24" borderId="19" xfId="0" applyNumberFormat="1" applyFont="1" applyFill="1" applyBorder="1" applyAlignment="1">
      <alignment horizontal="center" wrapText="1"/>
    </xf>
    <xf numFmtId="4" fontId="48" fillId="0" borderId="0" xfId="0" applyNumberFormat="1" applyFont="1" applyBorder="1" applyAlignment="1">
      <alignment horizontal="center" wrapText="1"/>
    </xf>
    <xf numFmtId="4" fontId="48" fillId="20" borderId="17" xfId="0" applyNumberFormat="1" applyFont="1" applyFill="1" applyBorder="1" applyAlignment="1">
      <alignment horizontal="center" vertical="center" wrapText="1"/>
    </xf>
    <xf numFmtId="165" fontId="37" fillId="32" borderId="8" xfId="48" applyNumberFormat="1" applyFont="1" applyFill="1" applyBorder="1" applyAlignment="1">
      <alignment horizontal="center" vertical="center"/>
    </xf>
    <xf numFmtId="4" fontId="24" fillId="32" borderId="8" xfId="48" applyNumberFormat="1" applyFont="1" applyFill="1" applyBorder="1" applyAlignment="1">
      <alignment horizontal="center" vertical="center"/>
    </xf>
    <xf numFmtId="4" fontId="75" fillId="44" borderId="8" xfId="48" applyNumberFormat="1" applyFont="1" applyFill="1" applyBorder="1" applyAlignment="1">
      <alignment horizontal="center" vertical="center"/>
    </xf>
    <xf numFmtId="165" fontId="75" fillId="44" borderId="8" xfId="48" applyNumberFormat="1" applyFont="1" applyFill="1" applyBorder="1" applyAlignment="1">
      <alignment horizontal="center" vertical="center"/>
    </xf>
    <xf numFmtId="165" fontId="24" fillId="44" borderId="8" xfId="48" applyNumberFormat="1" applyFont="1" applyFill="1" applyBorder="1" applyAlignment="1">
      <alignment horizontal="center" vertical="center"/>
    </xf>
    <xf numFmtId="165" fontId="24" fillId="43" borderId="8" xfId="48" applyNumberFormat="1" applyFont="1" applyFill="1" applyBorder="1" applyAlignment="1">
      <alignment horizontal="center" vertical="center"/>
    </xf>
    <xf numFmtId="165" fontId="24" fillId="43" borderId="17" xfId="48" applyNumberFormat="1" applyFont="1" applyFill="1" applyBorder="1" applyAlignment="1">
      <alignment horizontal="center" vertical="center"/>
    </xf>
    <xf numFmtId="165" fontId="24" fillId="32" borderId="8" xfId="48" applyNumberFormat="1" applyFont="1" applyFill="1" applyBorder="1" applyAlignment="1">
      <alignment horizontal="center" vertical="center"/>
    </xf>
    <xf numFmtId="165" fontId="24" fillId="26" borderId="8" xfId="48" applyNumberFormat="1" applyFont="1" applyFill="1" applyBorder="1" applyAlignment="1">
      <alignment horizontal="center" vertical="center"/>
    </xf>
    <xf numFmtId="165" fontId="37" fillId="45" borderId="8" xfId="48" applyNumberFormat="1" applyFont="1" applyFill="1" applyBorder="1" applyAlignment="1">
      <alignment horizontal="center" vertical="center"/>
    </xf>
    <xf numFmtId="165" fontId="24" fillId="46" borderId="8" xfId="48" applyNumberFormat="1" applyFont="1" applyFill="1" applyBorder="1" applyAlignment="1">
      <alignment horizontal="center" vertical="center"/>
    </xf>
    <xf numFmtId="165" fontId="24" fillId="47" borderId="8" xfId="48" applyNumberFormat="1" applyFont="1" applyFill="1" applyBorder="1" applyAlignment="1">
      <alignment horizontal="center" vertical="center"/>
    </xf>
    <xf numFmtId="165" fontId="37" fillId="46" borderId="8" xfId="48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0" xfId="0" applyBorder="1"/>
    <xf numFmtId="4" fontId="24" fillId="40" borderId="8" xfId="0" applyNumberFormat="1" applyFont="1" applyFill="1" applyBorder="1" applyAlignment="1">
      <alignment horizontal="left" vertical="center" wrapText="1"/>
    </xf>
    <xf numFmtId="0" fontId="48" fillId="0" borderId="0" xfId="0" applyFont="1" applyAlignment="1">
      <alignment horizontal="center"/>
    </xf>
    <xf numFmtId="0" fontId="48" fillId="0" borderId="0" xfId="0" applyFont="1" applyAlignment="1">
      <alignment horizontal="center" vertical="center" wrapText="1"/>
    </xf>
    <xf numFmtId="0" fontId="68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4" fontId="33" fillId="0" borderId="15" xfId="0" applyNumberFormat="1" applyFont="1" applyBorder="1" applyAlignment="1">
      <alignment horizontal="center" wrapText="1"/>
    </xf>
    <xf numFmtId="4" fontId="24" fillId="25" borderId="0" xfId="0" applyNumberFormat="1" applyFont="1" applyFill="1" applyAlignment="1">
      <alignment horizontal="center" wrapText="1"/>
    </xf>
    <xf numFmtId="0" fontId="68" fillId="0" borderId="9" xfId="0" applyFont="1" applyBorder="1" applyAlignment="1">
      <alignment horizontal="center" vertical="center" wrapText="1"/>
    </xf>
    <xf numFmtId="0" fontId="68" fillId="0" borderId="11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63" fillId="0" borderId="9" xfId="0" applyFont="1" applyBorder="1" applyAlignment="1">
      <alignment horizontal="center" vertical="center" wrapText="1"/>
    </xf>
    <xf numFmtId="0" fontId="63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4" fontId="24" fillId="3" borderId="7" xfId="0" applyNumberFormat="1" applyFont="1" applyFill="1" applyBorder="1" applyAlignment="1">
      <alignment horizontal="left" vertical="center" wrapText="1"/>
    </xf>
    <xf numFmtId="4" fontId="24" fillId="3" borderId="14" xfId="0" applyNumberFormat="1" applyFont="1" applyFill="1" applyBorder="1" applyAlignment="1">
      <alignment horizontal="left" vertical="center" wrapText="1"/>
    </xf>
    <xf numFmtId="0" fontId="65" fillId="0" borderId="0" xfId="0" applyFont="1" applyAlignment="1">
      <alignment horizontal="center" vertical="center" wrapText="1"/>
    </xf>
    <xf numFmtId="0" fontId="21" fillId="25" borderId="9" xfId="0" applyFont="1" applyFill="1" applyBorder="1" applyAlignment="1">
      <alignment horizontal="center" vertical="center" wrapText="1"/>
    </xf>
    <xf numFmtId="0" fontId="21" fillId="25" borderId="11" xfId="0" applyFont="1" applyFill="1" applyBorder="1" applyAlignment="1">
      <alignment horizontal="center" vertical="center" wrapText="1"/>
    </xf>
    <xf numFmtId="0" fontId="37" fillId="25" borderId="9" xfId="0" applyFont="1" applyFill="1" applyBorder="1" applyAlignment="1">
      <alignment horizontal="center" vertical="center" wrapText="1"/>
    </xf>
    <xf numFmtId="0" fontId="37" fillId="25" borderId="11" xfId="0" applyFont="1" applyFill="1" applyBorder="1" applyAlignment="1">
      <alignment horizontal="center" vertical="center" wrapText="1"/>
    </xf>
    <xf numFmtId="4" fontId="35" fillId="0" borderId="10" xfId="0" applyNumberFormat="1" applyFont="1" applyBorder="1" applyAlignment="1">
      <alignment horizontal="left" wrapText="1"/>
    </xf>
    <xf numFmtId="4" fontId="24" fillId="3" borderId="8" xfId="0" applyNumberFormat="1" applyFont="1" applyFill="1" applyBorder="1" applyAlignment="1">
      <alignment horizontal="left" vertical="center" wrapText="1"/>
    </xf>
    <xf numFmtId="4" fontId="24" fillId="20" borderId="8" xfId="0" applyNumberFormat="1" applyFont="1" applyFill="1" applyBorder="1" applyAlignment="1">
      <alignment horizontal="left" vertical="center" wrapText="1"/>
    </xf>
    <xf numFmtId="0" fontId="56" fillId="0" borderId="0" xfId="0" applyFont="1" applyAlignment="1">
      <alignment horizontal="center"/>
    </xf>
    <xf numFmtId="164" fontId="23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4" fillId="25" borderId="0" xfId="0" applyFont="1" applyFill="1" applyAlignment="1">
      <alignment horizontal="center" vertical="center" wrapText="1"/>
    </xf>
    <xf numFmtId="0" fontId="76" fillId="31" borderId="17" xfId="0" applyFont="1" applyFill="1" applyBorder="1" applyAlignment="1">
      <alignment horizontal="center" vertical="center" wrapText="1"/>
    </xf>
    <xf numFmtId="164" fontId="27" fillId="31" borderId="17" xfId="0" applyNumberFormat="1" applyFont="1" applyFill="1" applyBorder="1" applyAlignment="1">
      <alignment horizontal="center" vertical="center" wrapText="1"/>
    </xf>
    <xf numFmtId="0" fontId="54" fillId="38" borderId="0" xfId="0" applyFont="1" applyFill="1" applyAlignment="1">
      <alignment horizontal="center" vertical="center"/>
    </xf>
    <xf numFmtId="1" fontId="48" fillId="0" borderId="0" xfId="0" applyNumberFormat="1" applyFont="1" applyAlignment="1">
      <alignment horizontal="right" wrapText="1" indent="1"/>
    </xf>
  </cellXfs>
  <cellStyles count="64">
    <cellStyle name="20% - Акцент1" xfId="1" xr:uid="{00000000-0005-0000-0000-000006000000}"/>
    <cellStyle name="20% - Акцент2" xfId="2" xr:uid="{00000000-0005-0000-0000-000007000000}"/>
    <cellStyle name="20% - Акцент3" xfId="3" xr:uid="{00000000-0005-0000-0000-000008000000}"/>
    <cellStyle name="20% - Акцент4" xfId="4" xr:uid="{00000000-0005-0000-0000-000009000000}"/>
    <cellStyle name="20% - Акцент5" xfId="5" xr:uid="{00000000-0005-0000-0000-00000A000000}"/>
    <cellStyle name="20% - Акцент6" xfId="6" xr:uid="{00000000-0005-0000-0000-00000B000000}"/>
    <cellStyle name="40% - Акцент1" xfId="7" xr:uid="{00000000-0005-0000-0000-00000C000000}"/>
    <cellStyle name="40% - Акцент2" xfId="8" xr:uid="{00000000-0005-0000-0000-00000D000000}"/>
    <cellStyle name="40% - Акцент3" xfId="9" xr:uid="{00000000-0005-0000-0000-00000E000000}"/>
    <cellStyle name="40% - Акцент4" xfId="10" xr:uid="{00000000-0005-0000-0000-00000F000000}"/>
    <cellStyle name="40% - Акцент5" xfId="11" xr:uid="{00000000-0005-0000-0000-000010000000}"/>
    <cellStyle name="40% - Акцент6" xfId="12" xr:uid="{00000000-0005-0000-0000-000011000000}"/>
    <cellStyle name="60% - Акцент1" xfId="13" xr:uid="{00000000-0005-0000-0000-000012000000}"/>
    <cellStyle name="60% - Акцент2" xfId="14" xr:uid="{00000000-0005-0000-0000-000013000000}"/>
    <cellStyle name="60% - Акцент3" xfId="15" xr:uid="{00000000-0005-0000-0000-000014000000}"/>
    <cellStyle name="60% - Акцент4" xfId="16" xr:uid="{00000000-0005-0000-0000-000015000000}"/>
    <cellStyle name="60% - Акцент5" xfId="17" xr:uid="{00000000-0005-0000-0000-000016000000}"/>
    <cellStyle name="60% - Акцент6" xfId="18" xr:uid="{00000000-0005-0000-0000-000017000000}"/>
    <cellStyle name="Normal_meresha_07" xfId="19" xr:uid="{00000000-0005-0000-0000-000018000000}"/>
    <cellStyle name="Акцент1 2" xfId="20" xr:uid="{00000000-0005-0000-0000-000019000000}"/>
    <cellStyle name="Акцент2 2" xfId="21" xr:uid="{00000000-0005-0000-0000-00001A000000}"/>
    <cellStyle name="Акцент3 2" xfId="22" xr:uid="{00000000-0005-0000-0000-00001B000000}"/>
    <cellStyle name="Акцент4 2" xfId="23" xr:uid="{00000000-0005-0000-0000-00001C000000}"/>
    <cellStyle name="Акцент5 2" xfId="24" xr:uid="{00000000-0005-0000-0000-00001D000000}"/>
    <cellStyle name="Акцент6 2" xfId="25" xr:uid="{00000000-0005-0000-0000-00001E000000}"/>
    <cellStyle name="Ввод  2" xfId="26" xr:uid="{00000000-0005-0000-0000-00001F000000}"/>
    <cellStyle name="Вывод 2" xfId="27" xr:uid="{00000000-0005-0000-0000-000020000000}"/>
    <cellStyle name="Вычисление 2" xfId="28" xr:uid="{00000000-0005-0000-0000-000021000000}"/>
    <cellStyle name="Звичайний" xfId="0" builtinId="0"/>
    <cellStyle name="Звичайний 10" xfId="29" xr:uid="{00000000-0005-0000-0000-000022000000}"/>
    <cellStyle name="Звичайний 11" xfId="30" xr:uid="{00000000-0005-0000-0000-000023000000}"/>
    <cellStyle name="Звичайний 12" xfId="31" xr:uid="{00000000-0005-0000-0000-000024000000}"/>
    <cellStyle name="Звичайний 13" xfId="32" xr:uid="{00000000-0005-0000-0000-000025000000}"/>
    <cellStyle name="Звичайний 14" xfId="33" xr:uid="{00000000-0005-0000-0000-000026000000}"/>
    <cellStyle name="Звичайний 15" xfId="34" xr:uid="{00000000-0005-0000-0000-000027000000}"/>
    <cellStyle name="Звичайний 16" xfId="35" xr:uid="{00000000-0005-0000-0000-000028000000}"/>
    <cellStyle name="Звичайний 17" xfId="36" xr:uid="{00000000-0005-0000-0000-000029000000}"/>
    <cellStyle name="Звичайний 18" xfId="37" xr:uid="{00000000-0005-0000-0000-00002A000000}"/>
    <cellStyle name="Звичайний 19" xfId="38" xr:uid="{00000000-0005-0000-0000-00002B000000}"/>
    <cellStyle name="Звичайний 2" xfId="39" xr:uid="{00000000-0005-0000-0000-00002C000000}"/>
    <cellStyle name="Звичайний 20" xfId="40" xr:uid="{00000000-0005-0000-0000-00002D000000}"/>
    <cellStyle name="Звичайний 3" xfId="41" xr:uid="{00000000-0005-0000-0000-00002E000000}"/>
    <cellStyle name="Звичайний 4" xfId="42" xr:uid="{00000000-0005-0000-0000-00002F000000}"/>
    <cellStyle name="Звичайний 5" xfId="43" xr:uid="{00000000-0005-0000-0000-000030000000}"/>
    <cellStyle name="Звичайний 6" xfId="44" xr:uid="{00000000-0005-0000-0000-000031000000}"/>
    <cellStyle name="Звичайний 7" xfId="45" xr:uid="{00000000-0005-0000-0000-000032000000}"/>
    <cellStyle name="Звичайний 8" xfId="46" xr:uid="{00000000-0005-0000-0000-000033000000}"/>
    <cellStyle name="Звичайний 9" xfId="47" xr:uid="{00000000-0005-0000-0000-000034000000}"/>
    <cellStyle name="Звичайний_Додаток _ 3 зм_ни 4575" xfId="48" xr:uid="{00000000-0005-0000-0000-000035000000}"/>
    <cellStyle name="Итог 2" xfId="49" xr:uid="{00000000-0005-0000-0000-000036000000}"/>
    <cellStyle name="Контрольная ячейка 2" xfId="50" xr:uid="{00000000-0005-0000-0000-000037000000}"/>
    <cellStyle name="Название 2" xfId="51" xr:uid="{00000000-0005-0000-0000-000038000000}"/>
    <cellStyle name="Нейтральный 2" xfId="52" xr:uid="{00000000-0005-0000-0000-000039000000}"/>
    <cellStyle name="Обычный 2" xfId="53" xr:uid="{00000000-0005-0000-0000-00003A000000}"/>
    <cellStyle name="Обычный 2 2" xfId="54" xr:uid="{00000000-0005-0000-0000-00003B000000}"/>
    <cellStyle name="Обычный 3" xfId="55" xr:uid="{00000000-0005-0000-0000-00003C000000}"/>
    <cellStyle name="Обычный 4" xfId="56" xr:uid="{00000000-0005-0000-0000-00003D000000}"/>
    <cellStyle name="Плохой 2" xfId="57" xr:uid="{00000000-0005-0000-0000-00003E000000}"/>
    <cellStyle name="Пояснение 2" xfId="58" xr:uid="{00000000-0005-0000-0000-00003F000000}"/>
    <cellStyle name="Примечание 2" xfId="59" xr:uid="{00000000-0005-0000-0000-000040000000}"/>
    <cellStyle name="Связанная ячейка 2" xfId="60" xr:uid="{00000000-0005-0000-0000-000041000000}"/>
    <cellStyle name="Стиль 1" xfId="61" xr:uid="{00000000-0005-0000-0000-000042000000}"/>
    <cellStyle name="Текст предупреждения 2" xfId="62" xr:uid="{00000000-0005-0000-0000-000043000000}"/>
    <cellStyle name="Хороший 2" xfId="63" xr:uid="{00000000-0005-0000-0000-00004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3399"/>
      <rgbColor rgb="FF00FFFF"/>
      <rgbColor rgb="FF800000"/>
      <rgbColor rgb="FF008000"/>
      <rgbColor rgb="FF000080"/>
      <rgbColor rgb="FF808000"/>
      <rgbColor rgb="FF800080"/>
      <rgbColor rgb="FF3FAF46"/>
      <rgbColor rgb="FFC0C0C0"/>
      <rgbColor rgb="FF808080"/>
      <rgbColor rgb="FFBFBFB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C9211E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CFF"/>
      <color rgb="FFCCCCFF"/>
      <color rgb="FFCC99FF"/>
      <color rgb="FFFFCCFF"/>
      <color rgb="FFFF66FF"/>
      <color rgb="FFFF5050"/>
      <color rgb="FFCC0099"/>
      <color rgb="FF0099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3366"/>
  </sheetPr>
  <dimension ref="A1:P1200"/>
  <sheetViews>
    <sheetView tabSelected="1" view="pageBreakPreview" topLeftCell="A4" zoomScale="85" zoomScaleNormal="100" zoomScaleSheetLayoutView="85" zoomScalePageLayoutView="91" workbookViewId="0">
      <pane xSplit="4" ySplit="4" topLeftCell="E653" activePane="bottomRight" state="frozen"/>
      <selection activeCell="A4" sqref="A4"/>
      <selection pane="topRight" activeCell="E4" sqref="E4"/>
      <selection pane="bottomLeft" activeCell="A8" sqref="A8"/>
      <selection pane="bottomRight" activeCell="H983" sqref="H983:I983"/>
    </sheetView>
  </sheetViews>
  <sheetFormatPr defaultColWidth="8.7109375" defaultRowHeight="18.75" x14ac:dyDescent="0.25"/>
  <cols>
    <col min="1" max="1" width="12.42578125" style="4" customWidth="1"/>
    <col min="2" max="2" width="10.7109375" style="4" customWidth="1"/>
    <col min="3" max="3" width="8.85546875" style="5" customWidth="1"/>
    <col min="4" max="4" width="62.5703125" style="650" customWidth="1"/>
    <col min="5" max="6" width="19.7109375" style="4" customWidth="1"/>
    <col min="7" max="7" width="19" style="4" customWidth="1"/>
    <col min="8" max="8" width="19.42578125" style="6" customWidth="1"/>
    <col min="9" max="9" width="13.5703125" customWidth="1"/>
    <col min="10" max="10" width="2.140625" style="7" customWidth="1"/>
    <col min="11" max="11" width="22.140625" style="9" customWidth="1"/>
    <col min="12" max="12" width="21.85546875" style="9" customWidth="1"/>
    <col min="13" max="13" width="21.5703125" style="9" customWidth="1"/>
    <col min="14" max="14" width="19" style="9" customWidth="1"/>
    <col min="15" max="15" width="17" style="9" customWidth="1"/>
    <col min="16" max="16" width="9.140625" style="9" customWidth="1"/>
  </cols>
  <sheetData>
    <row r="1" spans="1:13" ht="14.25" customHeight="1" x14ac:dyDescent="0.25">
      <c r="A1" s="10"/>
      <c r="B1" s="10"/>
      <c r="C1" s="11"/>
      <c r="D1" s="533"/>
      <c r="E1" s="10"/>
      <c r="F1" s="12"/>
      <c r="G1" s="12"/>
      <c r="H1" s="13"/>
      <c r="J1" s="524"/>
      <c r="K1" s="786"/>
      <c r="L1" s="786"/>
      <c r="M1" s="786"/>
    </row>
    <row r="2" spans="1:13" ht="18.75" customHeight="1" x14ac:dyDescent="0.25">
      <c r="A2" s="790" t="s">
        <v>207</v>
      </c>
      <c r="B2" s="790"/>
      <c r="C2" s="790"/>
      <c r="D2" s="790"/>
      <c r="E2" s="790"/>
      <c r="F2" s="790"/>
      <c r="G2" s="790"/>
      <c r="H2" s="790"/>
      <c r="I2" s="790"/>
      <c r="J2" s="790"/>
    </row>
    <row r="3" spans="1:13" ht="18.75" customHeight="1" x14ac:dyDescent="0.25">
      <c r="A3" s="787" t="s">
        <v>0</v>
      </c>
      <c r="B3" s="787"/>
      <c r="C3" s="787"/>
      <c r="D3" s="787"/>
      <c r="E3" s="787"/>
      <c r="F3" s="787"/>
      <c r="G3" s="787"/>
      <c r="H3" s="787"/>
      <c r="I3" s="787"/>
      <c r="J3" s="787"/>
    </row>
    <row r="4" spans="1:13" ht="18" customHeight="1" x14ac:dyDescent="0.25">
      <c r="A4" s="787" t="s">
        <v>1</v>
      </c>
      <c r="B4" s="787"/>
      <c r="C4" s="787"/>
      <c r="D4" s="787"/>
      <c r="E4" s="787"/>
      <c r="F4" s="787"/>
      <c r="G4" s="787"/>
      <c r="H4" s="787"/>
      <c r="I4" s="787"/>
      <c r="J4" s="787"/>
    </row>
    <row r="5" spans="1:13" ht="10.5" customHeight="1" x14ac:dyDescent="0.25">
      <c r="D5" s="534"/>
      <c r="E5" s="14"/>
      <c r="H5" s="15"/>
      <c r="I5" s="15" t="s">
        <v>2</v>
      </c>
      <c r="J5" s="16"/>
    </row>
    <row r="6" spans="1:13" ht="70.5" customHeight="1" x14ac:dyDescent="0.25">
      <c r="A6" s="788" t="s">
        <v>3</v>
      </c>
      <c r="B6" s="788" t="s">
        <v>4</v>
      </c>
      <c r="C6" s="788" t="s">
        <v>5</v>
      </c>
      <c r="D6" s="755" t="s">
        <v>6</v>
      </c>
      <c r="E6" s="753" t="s">
        <v>152</v>
      </c>
      <c r="F6" s="756" t="s">
        <v>153</v>
      </c>
      <c r="G6" s="789" t="s">
        <v>284</v>
      </c>
      <c r="H6" s="791" t="s">
        <v>285</v>
      </c>
      <c r="I6" s="792" t="s">
        <v>286</v>
      </c>
      <c r="J6" s="17"/>
    </row>
    <row r="7" spans="1:13" ht="58.5" customHeight="1" x14ac:dyDescent="0.25">
      <c r="A7" s="788"/>
      <c r="B7" s="788"/>
      <c r="C7" s="788"/>
      <c r="D7" s="755"/>
      <c r="E7" s="753"/>
      <c r="F7" s="756"/>
      <c r="G7" s="789"/>
      <c r="H7" s="791"/>
      <c r="I7" s="792"/>
      <c r="J7" s="17"/>
    </row>
    <row r="8" spans="1:13" ht="24" customHeight="1" x14ac:dyDescent="0.25">
      <c r="A8" s="19" t="s">
        <v>9</v>
      </c>
      <c r="B8" s="20"/>
      <c r="C8" s="20"/>
      <c r="D8" s="535" t="s">
        <v>10</v>
      </c>
      <c r="E8" s="21">
        <f>E9+E34+E51+E54+E60+E63+E71+E77+E82+E87+E103+E107+E117+E135+E139+E151+E157+E171+E175+E187+E203+E207+E179</f>
        <v>68400000</v>
      </c>
      <c r="F8" s="22">
        <f>F9+F34+F51+F54+F60+F63+F71+F77+F82+F87+F103+F107+F117+F135+F139+F151+F157+F166+F171+F175+F187+F203+F207+F179</f>
        <v>70830000</v>
      </c>
      <c r="G8" s="22">
        <f>G9+G34+G51+G54+G60+G63+G71+G77+G82+G87+G103+G107+G117+G135+G139+G151+G157+G166+G171+G175+G187+G203+G207+G179</f>
        <v>44830000</v>
      </c>
      <c r="H8" s="22">
        <f>H82+H87+H117+H151+H171+H175+H179+H187</f>
        <v>13912042.130000001</v>
      </c>
      <c r="I8" s="742">
        <f>H8/G8*100</f>
        <v>31.032884519295116</v>
      </c>
      <c r="J8" s="23"/>
      <c r="K8" s="24">
        <f>H8+H651</f>
        <v>15267042</v>
      </c>
      <c r="L8" s="24">
        <f>I8+I651</f>
        <v>131.03288451929512</v>
      </c>
      <c r="M8" s="25"/>
    </row>
    <row r="9" spans="1:13" ht="29.25" hidden="1" customHeight="1" x14ac:dyDescent="0.3">
      <c r="A9" s="26" t="s">
        <v>11</v>
      </c>
      <c r="B9" s="27" t="s">
        <v>12</v>
      </c>
      <c r="C9" s="28"/>
      <c r="D9" s="536"/>
      <c r="E9" s="29">
        <f t="shared" ref="E9:H9" si="0">E10+E15+E18+E29</f>
        <v>0</v>
      </c>
      <c r="F9" s="29">
        <f t="shared" si="0"/>
        <v>0</v>
      </c>
      <c r="G9" s="29">
        <f t="shared" si="0"/>
        <v>0</v>
      </c>
      <c r="H9" s="29" t="e">
        <f t="shared" si="0"/>
        <v>#REF!</v>
      </c>
      <c r="I9" s="741" t="e">
        <f>H9/G9*100</f>
        <v>#REF!</v>
      </c>
      <c r="J9" s="30"/>
      <c r="K9" s="25"/>
      <c r="L9" s="25"/>
      <c r="M9" s="25"/>
    </row>
    <row r="10" spans="1:13" ht="26.25" hidden="1" customHeight="1" x14ac:dyDescent="0.3">
      <c r="A10" s="31"/>
      <c r="B10" s="32"/>
      <c r="C10" s="32"/>
      <c r="D10" s="537" t="s">
        <v>13</v>
      </c>
      <c r="E10" s="33">
        <f>SUM(E11:E12)</f>
        <v>0</v>
      </c>
      <c r="F10" s="33">
        <f>SUM(F11:F13)</f>
        <v>0</v>
      </c>
      <c r="G10" s="33">
        <f>SUM(G11:G13)</f>
        <v>0</v>
      </c>
      <c r="H10" s="33" t="e">
        <f>SUM(H11:H13)</f>
        <v>#REF!</v>
      </c>
      <c r="I10" s="741" t="e">
        <f>H10/G10*100</f>
        <v>#REF!</v>
      </c>
      <c r="J10" s="34"/>
      <c r="K10" s="25"/>
      <c r="L10" s="25"/>
      <c r="M10" s="25"/>
    </row>
    <row r="11" spans="1:13" ht="21.75" hidden="1" customHeight="1" x14ac:dyDescent="0.3">
      <c r="A11" s="35"/>
      <c r="B11" s="36"/>
      <c r="C11" s="36"/>
      <c r="D11" s="538"/>
      <c r="E11" s="37"/>
      <c r="F11" s="38"/>
      <c r="G11" s="38"/>
      <c r="H11" s="39" t="e">
        <f>G11-#REF!</f>
        <v>#REF!</v>
      </c>
      <c r="I11" s="741" t="e">
        <f>H11/G11*100</f>
        <v>#REF!</v>
      </c>
      <c r="J11" s="41"/>
      <c r="K11" s="782"/>
      <c r="L11" s="782"/>
      <c r="M11" s="782"/>
    </row>
    <row r="12" spans="1:13" ht="21.75" hidden="1" customHeight="1" x14ac:dyDescent="0.25">
      <c r="A12" s="35"/>
      <c r="B12" s="36"/>
      <c r="C12" s="36"/>
      <c r="D12" s="538"/>
      <c r="E12" s="37"/>
      <c r="F12" s="37"/>
      <c r="G12" s="38"/>
      <c r="H12" s="39" t="e">
        <f>G12-#REF!</f>
        <v>#REF!</v>
      </c>
      <c r="I12" s="741" t="e">
        <f>H12/G12*100</f>
        <v>#REF!</v>
      </c>
      <c r="J12" s="41"/>
      <c r="K12" s="42"/>
      <c r="L12" s="25"/>
      <c r="M12" s="25"/>
    </row>
    <row r="13" spans="1:13" ht="21.75" hidden="1" customHeight="1" x14ac:dyDescent="0.25">
      <c r="A13" s="35"/>
      <c r="B13" s="36"/>
      <c r="C13" s="36"/>
      <c r="D13" s="539"/>
      <c r="E13" s="37"/>
      <c r="F13" s="37"/>
      <c r="G13" s="38"/>
      <c r="H13" s="39" t="e">
        <f>G13-#REF!</f>
        <v>#REF!</v>
      </c>
      <c r="I13" s="741" t="e">
        <f>H13/G13*100</f>
        <v>#REF!</v>
      </c>
      <c r="J13" s="41"/>
      <c r="K13" s="42"/>
      <c r="L13" s="25"/>
      <c r="M13" s="25"/>
    </row>
    <row r="14" spans="1:13" ht="17.25" hidden="1" customHeight="1" x14ac:dyDescent="0.25">
      <c r="A14" s="35"/>
      <c r="B14" s="36"/>
      <c r="C14" s="36"/>
      <c r="D14" s="540"/>
      <c r="E14" s="38"/>
      <c r="F14" s="38"/>
      <c r="G14" s="38"/>
      <c r="H14" s="39" t="e">
        <f>G14-#REF!</f>
        <v>#REF!</v>
      </c>
      <c r="I14" s="741" t="e">
        <f>H14/G14*100</f>
        <v>#REF!</v>
      </c>
      <c r="J14" s="41"/>
      <c r="K14" s="42"/>
      <c r="L14" s="25"/>
      <c r="M14" s="25"/>
    </row>
    <row r="15" spans="1:13" ht="30" hidden="1" customHeight="1" x14ac:dyDescent="0.3">
      <c r="A15" s="44"/>
      <c r="B15" s="45"/>
      <c r="C15" s="45"/>
      <c r="D15" s="537" t="s">
        <v>14</v>
      </c>
      <c r="E15" s="46">
        <f t="shared" ref="E15:H15" si="1">E16</f>
        <v>0</v>
      </c>
      <c r="F15" s="46">
        <f t="shared" si="1"/>
        <v>0</v>
      </c>
      <c r="G15" s="46">
        <f t="shared" si="1"/>
        <v>0</v>
      </c>
      <c r="H15" s="46" t="e">
        <f t="shared" si="1"/>
        <v>#REF!</v>
      </c>
      <c r="I15" s="741" t="e">
        <f>H15/G15*100</f>
        <v>#REF!</v>
      </c>
      <c r="J15" s="47"/>
      <c r="K15" s="25"/>
      <c r="L15" s="25"/>
      <c r="M15" s="25"/>
    </row>
    <row r="16" spans="1:13" ht="24.75" hidden="1" customHeight="1" x14ac:dyDescent="0.25">
      <c r="A16" s="35"/>
      <c r="B16" s="36"/>
      <c r="C16" s="36"/>
      <c r="D16" s="540"/>
      <c r="E16" s="37"/>
      <c r="F16" s="37"/>
      <c r="G16" s="38"/>
      <c r="H16" s="39" t="e">
        <f>G16-#REF!</f>
        <v>#REF!</v>
      </c>
      <c r="I16" s="741" t="e">
        <f>H16/G16*100</f>
        <v>#REF!</v>
      </c>
      <c r="J16" s="41"/>
      <c r="K16" s="25"/>
      <c r="L16" s="25"/>
      <c r="M16" s="25"/>
    </row>
    <row r="17" spans="1:16" ht="20.25" hidden="1" customHeight="1" x14ac:dyDescent="0.25">
      <c r="A17" s="35"/>
      <c r="B17" s="36"/>
      <c r="C17" s="36"/>
      <c r="D17" s="541"/>
      <c r="E17" s="39"/>
      <c r="F17" s="37"/>
      <c r="G17" s="38"/>
      <c r="H17" s="39"/>
      <c r="I17" s="741" t="e">
        <f>H17/G17*100</f>
        <v>#DIV/0!</v>
      </c>
      <c r="J17" s="41"/>
      <c r="K17" s="25"/>
      <c r="L17" s="25"/>
      <c r="M17" s="25"/>
    </row>
    <row r="18" spans="1:16" s="53" customFormat="1" ht="34.5" hidden="1" customHeight="1" x14ac:dyDescent="0.25">
      <c r="A18" s="44"/>
      <c r="B18" s="45"/>
      <c r="C18" s="45"/>
      <c r="D18" s="542" t="s">
        <v>15</v>
      </c>
      <c r="E18" s="48">
        <f t="shared" ref="E18:H18" si="2">SUM(E19:E28)</f>
        <v>0</v>
      </c>
      <c r="F18" s="48">
        <f t="shared" si="2"/>
        <v>0</v>
      </c>
      <c r="G18" s="48">
        <f t="shared" si="2"/>
        <v>0</v>
      </c>
      <c r="H18" s="48" t="e">
        <f t="shared" si="2"/>
        <v>#REF!</v>
      </c>
      <c r="I18" s="741" t="e">
        <f>H18/G18*100</f>
        <v>#REF!</v>
      </c>
      <c r="J18" s="49"/>
      <c r="K18" s="51"/>
      <c r="L18" s="51"/>
      <c r="M18" s="51"/>
      <c r="N18" s="52"/>
      <c r="O18" s="52"/>
      <c r="P18" s="52"/>
    </row>
    <row r="19" spans="1:16" ht="21" hidden="1" customHeight="1" x14ac:dyDescent="0.3">
      <c r="A19" s="35"/>
      <c r="B19" s="36"/>
      <c r="C19" s="36"/>
      <c r="D19" s="540"/>
      <c r="E19" s="54"/>
      <c r="F19" s="54"/>
      <c r="G19" s="38"/>
      <c r="H19" s="39" t="e">
        <f>G19-#REF!</f>
        <v>#REF!</v>
      </c>
      <c r="I19" s="741" t="e">
        <f>H19/G19*100</f>
        <v>#REF!</v>
      </c>
      <c r="J19" s="41"/>
      <c r="K19" s="729"/>
      <c r="L19" s="25"/>
      <c r="M19" s="25"/>
    </row>
    <row r="20" spans="1:16" ht="21" hidden="1" customHeight="1" x14ac:dyDescent="0.3">
      <c r="A20" s="35"/>
      <c r="B20" s="36"/>
      <c r="C20" s="36"/>
      <c r="D20" s="540"/>
      <c r="E20" s="54"/>
      <c r="F20" s="54"/>
      <c r="G20" s="38"/>
      <c r="H20" s="39" t="e">
        <f>G20-#REF!</f>
        <v>#REF!</v>
      </c>
      <c r="I20" s="741" t="e">
        <f>H20/G20*100</f>
        <v>#REF!</v>
      </c>
      <c r="J20" s="41"/>
      <c r="K20" s="55"/>
      <c r="L20" s="55"/>
      <c r="M20" s="25"/>
    </row>
    <row r="21" spans="1:16" ht="21" hidden="1" customHeight="1" x14ac:dyDescent="0.25">
      <c r="A21" s="35"/>
      <c r="B21" s="36"/>
      <c r="C21" s="36"/>
      <c r="D21" s="540"/>
      <c r="E21" s="54"/>
      <c r="F21" s="54"/>
      <c r="G21" s="38"/>
      <c r="H21" s="39" t="e">
        <f>G21-#REF!</f>
        <v>#REF!</v>
      </c>
      <c r="I21" s="741" t="e">
        <f>H21/G21*100</f>
        <v>#REF!</v>
      </c>
      <c r="J21" s="41"/>
      <c r="K21" s="25"/>
      <c r="L21" s="25"/>
      <c r="M21" s="25"/>
    </row>
    <row r="22" spans="1:16" ht="21" hidden="1" customHeight="1" x14ac:dyDescent="0.3">
      <c r="A22" s="35"/>
      <c r="B22" s="36"/>
      <c r="C22" s="36"/>
      <c r="D22" s="543"/>
      <c r="E22" s="54"/>
      <c r="F22" s="54"/>
      <c r="G22" s="38"/>
      <c r="H22" s="39" t="e">
        <f>G22-#REF!</f>
        <v>#REF!</v>
      </c>
      <c r="I22" s="741" t="e">
        <f>H22/G22*100</f>
        <v>#REF!</v>
      </c>
      <c r="J22" s="41"/>
      <c r="K22" s="25"/>
      <c r="L22" s="25"/>
      <c r="M22" s="25"/>
    </row>
    <row r="23" spans="1:16" ht="21" hidden="1" customHeight="1" x14ac:dyDescent="0.25">
      <c r="A23" s="35"/>
      <c r="B23" s="36"/>
      <c r="C23" s="36"/>
      <c r="D23" s="544"/>
      <c r="E23" s="54"/>
      <c r="F23" s="54"/>
      <c r="G23" s="38"/>
      <c r="H23" s="39" t="e">
        <f>G23-#REF!</f>
        <v>#REF!</v>
      </c>
      <c r="I23" s="741" t="e">
        <f>H23/G23*100</f>
        <v>#REF!</v>
      </c>
      <c r="J23" s="41"/>
      <c r="K23" s="25"/>
      <c r="L23" s="25"/>
      <c r="M23" s="25"/>
    </row>
    <row r="24" spans="1:16" ht="21" hidden="1" customHeight="1" x14ac:dyDescent="0.25">
      <c r="A24" s="35"/>
      <c r="B24" s="36"/>
      <c r="C24" s="36"/>
      <c r="D24" s="540"/>
      <c r="E24" s="54"/>
      <c r="F24" s="54"/>
      <c r="G24" s="38"/>
      <c r="H24" s="39" t="e">
        <f>G24-#REF!</f>
        <v>#REF!</v>
      </c>
      <c r="I24" s="741" t="e">
        <f>H24/G24*100</f>
        <v>#REF!</v>
      </c>
      <c r="J24" s="41"/>
      <c r="K24" s="25"/>
      <c r="L24" s="25"/>
      <c r="M24" s="25"/>
    </row>
    <row r="25" spans="1:16" ht="21" hidden="1" customHeight="1" x14ac:dyDescent="0.3">
      <c r="A25" s="35"/>
      <c r="B25" s="36"/>
      <c r="C25" s="36"/>
      <c r="D25" s="543"/>
      <c r="E25" s="54"/>
      <c r="F25" s="54"/>
      <c r="G25" s="38"/>
      <c r="H25" s="39" t="e">
        <f>G25-#REF!</f>
        <v>#REF!</v>
      </c>
      <c r="I25" s="741" t="e">
        <f>H25/G25*100</f>
        <v>#REF!</v>
      </c>
      <c r="J25" s="41"/>
      <c r="K25" s="25"/>
      <c r="L25" s="25"/>
      <c r="M25" s="25"/>
    </row>
    <row r="26" spans="1:16" ht="21" hidden="1" customHeight="1" x14ac:dyDescent="0.25">
      <c r="A26" s="35"/>
      <c r="B26" s="36"/>
      <c r="C26" s="36"/>
      <c r="D26" s="540"/>
      <c r="E26" s="54"/>
      <c r="F26" s="54"/>
      <c r="G26" s="38"/>
      <c r="H26" s="39" t="e">
        <f>G26-#REF!</f>
        <v>#REF!</v>
      </c>
      <c r="I26" s="741" t="e">
        <f>H26/G26*100</f>
        <v>#REF!</v>
      </c>
      <c r="J26" s="41"/>
      <c r="K26" s="25"/>
      <c r="L26" s="25"/>
      <c r="M26" s="25"/>
    </row>
    <row r="27" spans="1:16" ht="21" hidden="1" customHeight="1" x14ac:dyDescent="0.25">
      <c r="A27" s="35"/>
      <c r="B27" s="36"/>
      <c r="C27" s="36"/>
      <c r="D27" s="540"/>
      <c r="E27" s="54"/>
      <c r="F27" s="54"/>
      <c r="G27" s="38"/>
      <c r="H27" s="39" t="e">
        <f>G27-#REF!</f>
        <v>#REF!</v>
      </c>
      <c r="I27" s="741" t="e">
        <f>H27/G27*100</f>
        <v>#REF!</v>
      </c>
      <c r="J27" s="41"/>
      <c r="K27" s="25"/>
      <c r="L27" s="25"/>
      <c r="M27" s="25"/>
    </row>
    <row r="28" spans="1:16" s="60" customFormat="1" ht="21" hidden="1" customHeight="1" x14ac:dyDescent="0.25">
      <c r="A28" s="56"/>
      <c r="B28" s="57"/>
      <c r="C28" s="57"/>
      <c r="D28" s="545"/>
      <c r="E28" s="39"/>
      <c r="F28" s="37"/>
      <c r="G28" s="38"/>
      <c r="H28" s="39"/>
      <c r="I28" s="741" t="e">
        <f>H28/G28*100</f>
        <v>#DIV/0!</v>
      </c>
      <c r="J28" s="41"/>
      <c r="K28" s="58"/>
      <c r="L28" s="58"/>
      <c r="M28" s="58"/>
      <c r="N28" s="59"/>
      <c r="O28" s="59"/>
      <c r="P28" s="59"/>
    </row>
    <row r="29" spans="1:16" s="68" customFormat="1" ht="21" hidden="1" customHeight="1" x14ac:dyDescent="0.25">
      <c r="A29" s="61"/>
      <c r="B29" s="62"/>
      <c r="C29" s="62"/>
      <c r="D29" s="542" t="s">
        <v>16</v>
      </c>
      <c r="E29" s="63">
        <f t="shared" ref="E29:H29" si="3">SUM(E30:E33)</f>
        <v>0</v>
      </c>
      <c r="F29" s="63">
        <f t="shared" si="3"/>
        <v>0</v>
      </c>
      <c r="G29" s="63">
        <f t="shared" si="3"/>
        <v>0</v>
      </c>
      <c r="H29" s="63" t="e">
        <f t="shared" si="3"/>
        <v>#REF!</v>
      </c>
      <c r="I29" s="741" t="e">
        <f>H29/G29*100</f>
        <v>#REF!</v>
      </c>
      <c r="J29" s="64"/>
      <c r="K29" s="65"/>
      <c r="L29" s="65"/>
      <c r="M29" s="66"/>
      <c r="N29" s="67"/>
      <c r="O29" s="67"/>
      <c r="P29" s="67"/>
    </row>
    <row r="30" spans="1:16" s="60" customFormat="1" ht="29.25" hidden="1" customHeight="1" x14ac:dyDescent="0.25">
      <c r="A30" s="56"/>
      <c r="B30" s="57"/>
      <c r="C30" s="57"/>
      <c r="D30" s="540"/>
      <c r="E30" s="54"/>
      <c r="F30" s="54"/>
      <c r="G30" s="38"/>
      <c r="H30" s="39" t="e">
        <f>G30-#REF!</f>
        <v>#REF!</v>
      </c>
      <c r="I30" s="741" t="e">
        <f>H30/G30*100</f>
        <v>#REF!</v>
      </c>
      <c r="J30" s="41"/>
      <c r="K30" s="58"/>
      <c r="L30" s="58"/>
      <c r="M30" s="58"/>
      <c r="N30" s="59"/>
      <c r="O30" s="59"/>
      <c r="P30" s="59"/>
    </row>
    <row r="31" spans="1:16" s="60" customFormat="1" ht="19.5" hidden="1" customHeight="1" x14ac:dyDescent="0.25">
      <c r="A31" s="56"/>
      <c r="B31" s="57"/>
      <c r="C31" s="57"/>
      <c r="D31" s="540"/>
      <c r="E31" s="54"/>
      <c r="F31" s="54"/>
      <c r="G31" s="38"/>
      <c r="H31" s="39" t="e">
        <f>G31-#REF!</f>
        <v>#REF!</v>
      </c>
      <c r="I31" s="741" t="e">
        <f>H31/G31*100</f>
        <v>#REF!</v>
      </c>
      <c r="J31" s="41"/>
      <c r="K31" s="58"/>
      <c r="L31" s="58"/>
      <c r="M31" s="58"/>
      <c r="N31" s="59"/>
      <c r="O31" s="59"/>
      <c r="P31" s="59"/>
    </row>
    <row r="32" spans="1:16" s="60" customFormat="1" ht="19.5" hidden="1" customHeight="1" x14ac:dyDescent="0.25">
      <c r="A32" s="56"/>
      <c r="B32" s="57"/>
      <c r="C32" s="57"/>
      <c r="D32" s="540"/>
      <c r="E32" s="54"/>
      <c r="F32" s="54"/>
      <c r="G32" s="38"/>
      <c r="H32" s="39" t="e">
        <f>G32-#REF!</f>
        <v>#REF!</v>
      </c>
      <c r="I32" s="741" t="e">
        <f>H32/G32*100</f>
        <v>#REF!</v>
      </c>
      <c r="J32" s="41"/>
      <c r="K32" s="58"/>
      <c r="L32" s="58"/>
      <c r="M32" s="58"/>
      <c r="N32" s="59"/>
      <c r="O32" s="59"/>
      <c r="P32" s="59"/>
    </row>
    <row r="33" spans="1:16" s="60" customFormat="1" ht="13.5" hidden="1" customHeight="1" x14ac:dyDescent="0.25">
      <c r="A33" s="56"/>
      <c r="B33" s="57"/>
      <c r="C33" s="57"/>
      <c r="D33" s="443"/>
      <c r="E33" s="37"/>
      <c r="F33" s="37"/>
      <c r="G33" s="38"/>
      <c r="H33" s="39"/>
      <c r="I33" s="741" t="e">
        <f>H33/G33*100</f>
        <v>#DIV/0!</v>
      </c>
      <c r="J33" s="41"/>
      <c r="K33" s="58"/>
      <c r="L33" s="58"/>
      <c r="M33" s="58"/>
      <c r="N33" s="59"/>
      <c r="O33" s="59"/>
      <c r="P33" s="59"/>
    </row>
    <row r="34" spans="1:16" s="60" customFormat="1" ht="24.75" hidden="1" customHeight="1" x14ac:dyDescent="0.25">
      <c r="A34" s="26" t="s">
        <v>17</v>
      </c>
      <c r="B34" s="27" t="s">
        <v>18</v>
      </c>
      <c r="C34" s="69"/>
      <c r="D34" s="71"/>
      <c r="E34" s="70">
        <f t="shared" ref="E34:H34" si="4">E36</f>
        <v>0</v>
      </c>
      <c r="F34" s="70">
        <f t="shared" si="4"/>
        <v>0</v>
      </c>
      <c r="G34" s="70">
        <f t="shared" si="4"/>
        <v>0</v>
      </c>
      <c r="H34" s="70" t="e">
        <f t="shared" si="4"/>
        <v>#REF!</v>
      </c>
      <c r="I34" s="741" t="e">
        <f>H34/G34*100</f>
        <v>#REF!</v>
      </c>
      <c r="J34" s="47"/>
      <c r="K34" s="58"/>
      <c r="L34" s="58"/>
      <c r="M34" s="58"/>
      <c r="N34" s="59"/>
      <c r="O34" s="59"/>
      <c r="P34" s="59"/>
    </row>
    <row r="35" spans="1:16" s="60" customFormat="1" ht="45.75" hidden="1" customHeight="1" x14ac:dyDescent="0.25">
      <c r="A35" s="56"/>
      <c r="B35" s="57"/>
      <c r="C35" s="57"/>
      <c r="D35" s="71" t="s">
        <v>19</v>
      </c>
      <c r="E35" s="72"/>
      <c r="F35" s="72"/>
      <c r="G35" s="72"/>
      <c r="H35" s="72"/>
      <c r="I35" s="741" t="e">
        <f>H35/G35*100</f>
        <v>#DIV/0!</v>
      </c>
      <c r="J35" s="47"/>
      <c r="K35" s="58"/>
      <c r="L35" s="58"/>
      <c r="M35" s="58"/>
      <c r="N35" s="59"/>
      <c r="O35" s="59"/>
      <c r="P35" s="59"/>
    </row>
    <row r="36" spans="1:16" s="75" customFormat="1" ht="37.5" hidden="1" customHeight="1" x14ac:dyDescent="0.25">
      <c r="A36" s="26" t="s">
        <v>17</v>
      </c>
      <c r="B36" s="27" t="s">
        <v>18</v>
      </c>
      <c r="C36" s="69"/>
      <c r="D36" s="71"/>
      <c r="E36" s="70">
        <f t="shared" ref="E36:H36" si="5">E37</f>
        <v>0</v>
      </c>
      <c r="F36" s="70">
        <f t="shared" si="5"/>
        <v>0</v>
      </c>
      <c r="G36" s="70">
        <f t="shared" si="5"/>
        <v>0</v>
      </c>
      <c r="H36" s="70" t="e">
        <f t="shared" si="5"/>
        <v>#REF!</v>
      </c>
      <c r="I36" s="741" t="e">
        <f>H36/G36*100</f>
        <v>#REF!</v>
      </c>
      <c r="J36" s="47"/>
      <c r="K36" s="73"/>
      <c r="L36" s="73"/>
      <c r="M36" s="73"/>
      <c r="N36" s="74"/>
      <c r="O36" s="74"/>
      <c r="P36" s="74"/>
    </row>
    <row r="37" spans="1:16" s="81" customFormat="1" ht="21.75" hidden="1" customHeight="1" x14ac:dyDescent="0.3">
      <c r="A37" s="76"/>
      <c r="B37" s="77"/>
      <c r="C37" s="57"/>
      <c r="D37" s="546"/>
      <c r="E37" s="78">
        <f t="shared" ref="E37:H37" si="6">E38+E43</f>
        <v>0</v>
      </c>
      <c r="F37" s="78">
        <f t="shared" si="6"/>
        <v>0</v>
      </c>
      <c r="G37" s="78">
        <f t="shared" si="6"/>
        <v>0</v>
      </c>
      <c r="H37" s="78" t="e">
        <f t="shared" si="6"/>
        <v>#REF!</v>
      </c>
      <c r="I37" s="741" t="e">
        <f>H37/G37*100</f>
        <v>#REF!</v>
      </c>
      <c r="J37" s="47"/>
      <c r="K37" s="79"/>
      <c r="L37" s="79"/>
      <c r="M37" s="79"/>
      <c r="N37" s="80"/>
      <c r="O37" s="80"/>
      <c r="P37" s="80"/>
    </row>
    <row r="38" spans="1:16" s="81" customFormat="1" ht="30" hidden="1" customHeight="1" x14ac:dyDescent="0.25">
      <c r="A38" s="26"/>
      <c r="B38" s="27"/>
      <c r="C38" s="69"/>
      <c r="D38" s="71" t="s">
        <v>13</v>
      </c>
      <c r="E38" s="70">
        <f t="shared" ref="E38:H38" si="7">SUM(E39:E41)</f>
        <v>0</v>
      </c>
      <c r="F38" s="70">
        <f t="shared" si="7"/>
        <v>0</v>
      </c>
      <c r="G38" s="70">
        <f t="shared" si="7"/>
        <v>0</v>
      </c>
      <c r="H38" s="70" t="e">
        <f t="shared" si="7"/>
        <v>#REF!</v>
      </c>
      <c r="I38" s="741" t="e">
        <f>H38/G38*100</f>
        <v>#REF!</v>
      </c>
      <c r="J38" s="47"/>
      <c r="K38" s="79"/>
      <c r="L38" s="79"/>
      <c r="M38" s="79"/>
      <c r="N38" s="80"/>
      <c r="O38" s="80"/>
      <c r="P38" s="80"/>
    </row>
    <row r="39" spans="1:16" s="75" customFormat="1" ht="30" hidden="1" customHeight="1" x14ac:dyDescent="0.3">
      <c r="A39" s="76"/>
      <c r="B39" s="77"/>
      <c r="C39" s="57"/>
      <c r="D39" s="547"/>
      <c r="E39" s="54"/>
      <c r="F39" s="38"/>
      <c r="G39" s="38"/>
      <c r="H39" s="38" t="e">
        <f>G39-#REF!</f>
        <v>#REF!</v>
      </c>
      <c r="I39" s="741" t="e">
        <f>H39/G39*100</f>
        <v>#REF!</v>
      </c>
      <c r="J39" s="82"/>
      <c r="K39" s="73"/>
      <c r="L39" s="73"/>
      <c r="M39" s="73"/>
      <c r="N39" s="74"/>
      <c r="O39" s="74"/>
      <c r="P39" s="74"/>
    </row>
    <row r="40" spans="1:16" s="75" customFormat="1" ht="48.75" hidden="1" customHeight="1" x14ac:dyDescent="0.3">
      <c r="A40" s="76"/>
      <c r="B40" s="77"/>
      <c r="C40" s="57"/>
      <c r="D40" s="543"/>
      <c r="E40" s="83"/>
      <c r="F40" s="38"/>
      <c r="G40" s="38"/>
      <c r="H40" s="38" t="e">
        <f>G40-#REF!</f>
        <v>#REF!</v>
      </c>
      <c r="I40" s="741" t="e">
        <f>H40/G40*100</f>
        <v>#REF!</v>
      </c>
      <c r="J40" s="82"/>
      <c r="K40" s="73"/>
      <c r="L40" s="73"/>
      <c r="M40" s="73"/>
      <c r="N40" s="74"/>
      <c r="O40" s="74"/>
      <c r="P40" s="74"/>
    </row>
    <row r="41" spans="1:16" s="75" customFormat="1" ht="50.25" hidden="1" customHeight="1" x14ac:dyDescent="0.3">
      <c r="A41" s="76"/>
      <c r="B41" s="77"/>
      <c r="C41" s="57"/>
      <c r="D41" s="543"/>
      <c r="E41" s="83"/>
      <c r="F41" s="38"/>
      <c r="G41" s="38"/>
      <c r="H41" s="38" t="e">
        <f>G41-#REF!</f>
        <v>#REF!</v>
      </c>
      <c r="I41" s="741" t="e">
        <f>H41/G41*100</f>
        <v>#REF!</v>
      </c>
      <c r="J41" s="82"/>
      <c r="K41" s="73"/>
      <c r="L41" s="73"/>
      <c r="M41" s="73"/>
      <c r="N41" s="74"/>
      <c r="O41" s="74"/>
      <c r="P41" s="74"/>
    </row>
    <row r="42" spans="1:16" s="75" customFormat="1" ht="22.5" hidden="1" customHeight="1" x14ac:dyDescent="0.25">
      <c r="A42" s="76"/>
      <c r="B42" s="77"/>
      <c r="C42" s="57"/>
      <c r="D42" s="459"/>
      <c r="E42" s="78"/>
      <c r="F42" s="78"/>
      <c r="G42" s="78"/>
      <c r="H42" s="78"/>
      <c r="I42" s="741" t="e">
        <f>H42/G42*100</f>
        <v>#DIV/0!</v>
      </c>
      <c r="J42" s="47"/>
      <c r="K42" s="73"/>
      <c r="L42" s="73"/>
      <c r="M42" s="73"/>
      <c r="N42" s="74"/>
      <c r="O42" s="74"/>
      <c r="P42" s="74"/>
    </row>
    <row r="43" spans="1:16" s="75" customFormat="1" ht="37.5" hidden="1" customHeight="1" x14ac:dyDescent="0.25">
      <c r="A43" s="26"/>
      <c r="B43" s="27"/>
      <c r="C43" s="69"/>
      <c r="D43" s="71" t="s">
        <v>15</v>
      </c>
      <c r="E43" s="70">
        <f t="shared" ref="E43:H43" si="8">SUM(E44:E46)</f>
        <v>0</v>
      </c>
      <c r="F43" s="70">
        <f t="shared" si="8"/>
        <v>0</v>
      </c>
      <c r="G43" s="70">
        <f t="shared" si="8"/>
        <v>0</v>
      </c>
      <c r="H43" s="70" t="e">
        <f t="shared" si="8"/>
        <v>#REF!</v>
      </c>
      <c r="I43" s="741" t="e">
        <f>H43/G43*100</f>
        <v>#REF!</v>
      </c>
      <c r="J43" s="47"/>
      <c r="K43" s="73"/>
      <c r="L43" s="73"/>
      <c r="M43" s="73"/>
      <c r="N43" s="74"/>
      <c r="O43" s="74"/>
      <c r="P43" s="74"/>
    </row>
    <row r="44" spans="1:16" s="81" customFormat="1" ht="21.75" hidden="1" customHeight="1" x14ac:dyDescent="0.25">
      <c r="A44" s="76"/>
      <c r="B44" s="77"/>
      <c r="C44" s="57"/>
      <c r="D44" s="540"/>
      <c r="E44" s="54"/>
      <c r="F44" s="54"/>
      <c r="G44" s="38"/>
      <c r="H44" s="39" t="e">
        <f>G44-#REF!</f>
        <v>#REF!</v>
      </c>
      <c r="I44" s="741" t="e">
        <f>H44/G44*100</f>
        <v>#REF!</v>
      </c>
      <c r="J44" s="41"/>
      <c r="K44" s="79"/>
      <c r="L44" s="79"/>
      <c r="M44" s="79"/>
      <c r="N44" s="80"/>
      <c r="O44" s="80"/>
      <c r="P44" s="80"/>
    </row>
    <row r="45" spans="1:16" s="81" customFormat="1" ht="21.75" hidden="1" customHeight="1" x14ac:dyDescent="0.25">
      <c r="A45" s="76"/>
      <c r="B45" s="77"/>
      <c r="C45" s="57"/>
      <c r="D45" s="540"/>
      <c r="E45" s="54"/>
      <c r="F45" s="54"/>
      <c r="G45" s="38"/>
      <c r="H45" s="39" t="e">
        <f>G45-#REF!</f>
        <v>#REF!</v>
      </c>
      <c r="I45" s="741" t="e">
        <f>H45/G45*100</f>
        <v>#REF!</v>
      </c>
      <c r="J45" s="41"/>
      <c r="K45" s="79"/>
      <c r="L45" s="79"/>
      <c r="M45" s="79"/>
      <c r="N45" s="80"/>
      <c r="O45" s="80"/>
      <c r="P45" s="80"/>
    </row>
    <row r="46" spans="1:16" ht="21.75" hidden="1" customHeight="1" x14ac:dyDescent="0.25">
      <c r="A46" s="84"/>
      <c r="B46" s="85"/>
      <c r="C46" s="85"/>
      <c r="D46" s="540"/>
      <c r="E46" s="54"/>
      <c r="F46" s="54"/>
      <c r="G46" s="38"/>
      <c r="H46" s="39" t="e">
        <f>G46-#REF!</f>
        <v>#REF!</v>
      </c>
      <c r="I46" s="741" t="e">
        <f>H46/G46*100</f>
        <v>#REF!</v>
      </c>
      <c r="J46" s="41"/>
      <c r="K46" s="25"/>
      <c r="L46" s="25"/>
      <c r="M46" s="25"/>
    </row>
    <row r="47" spans="1:16" ht="18.75" hidden="1" customHeight="1" x14ac:dyDescent="0.25">
      <c r="A47" s="84"/>
      <c r="B47" s="85"/>
      <c r="C47" s="85"/>
      <c r="D47" s="443"/>
      <c r="E47" s="39"/>
      <c r="F47" s="38"/>
      <c r="G47" s="38"/>
      <c r="H47" s="39"/>
      <c r="I47" s="741" t="e">
        <f>H47/G47*100</f>
        <v>#DIV/0!</v>
      </c>
      <c r="J47" s="41"/>
      <c r="K47" s="25"/>
      <c r="L47" s="25"/>
      <c r="M47" s="25"/>
    </row>
    <row r="48" spans="1:16" ht="18.75" hidden="1" customHeight="1" x14ac:dyDescent="0.25">
      <c r="A48" s="84"/>
      <c r="B48" s="85"/>
      <c r="C48" s="85"/>
      <c r="D48" s="443"/>
      <c r="E48" s="39"/>
      <c r="F48" s="38"/>
      <c r="G48" s="38"/>
      <c r="H48" s="39"/>
      <c r="I48" s="741" t="e">
        <f>H48/G48*100</f>
        <v>#DIV/0!</v>
      </c>
      <c r="J48" s="41"/>
      <c r="K48" s="25"/>
      <c r="L48" s="25"/>
      <c r="M48" s="25"/>
    </row>
    <row r="49" spans="1:13" ht="18.75" hidden="1" customHeight="1" x14ac:dyDescent="0.25">
      <c r="A49" s="84"/>
      <c r="B49" s="85"/>
      <c r="C49" s="85"/>
      <c r="D49" s="443"/>
      <c r="E49" s="39"/>
      <c r="F49" s="38"/>
      <c r="G49" s="38"/>
      <c r="H49" s="39"/>
      <c r="I49" s="741" t="e">
        <f>H49/G49*100</f>
        <v>#DIV/0!</v>
      </c>
      <c r="J49" s="41"/>
      <c r="K49" s="25"/>
      <c r="L49" s="25"/>
      <c r="M49" s="25"/>
    </row>
    <row r="50" spans="1:13" ht="14.25" hidden="1" customHeight="1" x14ac:dyDescent="0.25">
      <c r="A50" s="84"/>
      <c r="B50" s="85"/>
      <c r="C50" s="85"/>
      <c r="D50" s="443"/>
      <c r="E50" s="39"/>
      <c r="F50" s="38"/>
      <c r="G50" s="38"/>
      <c r="H50" s="39"/>
      <c r="I50" s="741" t="e">
        <f>H50/G50*100</f>
        <v>#DIV/0!</v>
      </c>
      <c r="J50" s="41"/>
      <c r="K50" s="25"/>
      <c r="L50" s="25"/>
      <c r="M50" s="25"/>
    </row>
    <row r="51" spans="1:13" ht="18.75" hidden="1" customHeight="1" x14ac:dyDescent="0.25">
      <c r="A51" s="26" t="s">
        <v>20</v>
      </c>
      <c r="B51" s="86" t="s">
        <v>21</v>
      </c>
      <c r="C51" s="87"/>
      <c r="D51" s="71" t="s">
        <v>22</v>
      </c>
      <c r="E51" s="70">
        <f t="shared" ref="E51:H51" si="9">SUM(E52)</f>
        <v>0</v>
      </c>
      <c r="F51" s="70">
        <f t="shared" si="9"/>
        <v>0</v>
      </c>
      <c r="G51" s="70">
        <f t="shared" si="9"/>
        <v>0</v>
      </c>
      <c r="H51" s="70" t="e">
        <f t="shared" si="9"/>
        <v>#REF!</v>
      </c>
      <c r="I51" s="741" t="e">
        <f>H51/G51*100</f>
        <v>#REF!</v>
      </c>
      <c r="J51" s="47"/>
      <c r="K51" s="88"/>
      <c r="L51" s="88"/>
      <c r="M51" s="88"/>
    </row>
    <row r="52" spans="1:13" ht="48.75" hidden="1" customHeight="1" x14ac:dyDescent="0.25">
      <c r="A52" s="84"/>
      <c r="B52" s="85"/>
      <c r="C52" s="85"/>
      <c r="D52" s="548"/>
      <c r="E52" s="54"/>
      <c r="F52" s="38"/>
      <c r="G52" s="38"/>
      <c r="H52" s="39" t="e">
        <f>G52-#REF!</f>
        <v>#REF!</v>
      </c>
      <c r="I52" s="741" t="e">
        <f>H52/G52*100</f>
        <v>#REF!</v>
      </c>
      <c r="J52" s="89"/>
      <c r="K52" s="25"/>
      <c r="L52" s="25"/>
      <c r="M52" s="25"/>
    </row>
    <row r="53" spans="1:13" ht="18.75" hidden="1" customHeight="1" x14ac:dyDescent="0.25">
      <c r="A53" s="84"/>
      <c r="B53" s="85"/>
      <c r="C53" s="85"/>
      <c r="D53" s="443"/>
      <c r="E53" s="39"/>
      <c r="F53" s="38"/>
      <c r="G53" s="38"/>
      <c r="H53" s="39"/>
      <c r="I53" s="741" t="e">
        <f>H53/G53*100</f>
        <v>#DIV/0!</v>
      </c>
      <c r="J53" s="41"/>
      <c r="K53" s="25"/>
      <c r="L53" s="25"/>
      <c r="M53" s="25"/>
    </row>
    <row r="54" spans="1:13" ht="27" hidden="1" customHeight="1" x14ac:dyDescent="0.25">
      <c r="A54" s="26" t="s">
        <v>23</v>
      </c>
      <c r="B54" s="86" t="s">
        <v>24</v>
      </c>
      <c r="C54" s="87"/>
      <c r="D54" s="71" t="s">
        <v>22</v>
      </c>
      <c r="E54" s="70">
        <f t="shared" ref="E54:H54" si="10">SUM(E55:E57)</f>
        <v>0</v>
      </c>
      <c r="F54" s="70">
        <f t="shared" si="10"/>
        <v>0</v>
      </c>
      <c r="G54" s="70">
        <f t="shared" si="10"/>
        <v>0</v>
      </c>
      <c r="H54" s="70" t="e">
        <f t="shared" si="10"/>
        <v>#REF!</v>
      </c>
      <c r="I54" s="741" t="e">
        <f>H54/G54*100</f>
        <v>#REF!</v>
      </c>
      <c r="J54" s="47"/>
      <c r="K54" s="90"/>
      <c r="L54" s="90"/>
      <c r="M54" s="25"/>
    </row>
    <row r="55" spans="1:13" ht="30" hidden="1" customHeight="1" x14ac:dyDescent="0.25">
      <c r="A55" s="84"/>
      <c r="B55" s="85"/>
      <c r="C55" s="85"/>
      <c r="D55" s="549"/>
      <c r="E55" s="54"/>
      <c r="F55" s="38"/>
      <c r="G55" s="38"/>
      <c r="H55" s="39" t="e">
        <f>G55-#REF!</f>
        <v>#REF!</v>
      </c>
      <c r="I55" s="741" t="e">
        <f>H55/G55*100</f>
        <v>#REF!</v>
      </c>
      <c r="J55" s="89"/>
      <c r="K55" s="91"/>
      <c r="L55" s="91"/>
      <c r="M55" s="25"/>
    </row>
    <row r="56" spans="1:13" ht="17.25" hidden="1" customHeight="1" x14ac:dyDescent="0.25">
      <c r="A56" s="84"/>
      <c r="B56" s="85"/>
      <c r="C56" s="85"/>
      <c r="D56" s="550"/>
      <c r="E56" s="54"/>
      <c r="F56" s="38"/>
      <c r="G56" s="38"/>
      <c r="H56" s="39" t="e">
        <f>G56-#REF!</f>
        <v>#REF!</v>
      </c>
      <c r="I56" s="741" t="e">
        <f>H56/G56*100</f>
        <v>#REF!</v>
      </c>
      <c r="J56" s="89"/>
      <c r="K56" s="25"/>
      <c r="L56" s="25"/>
      <c r="M56" s="25"/>
    </row>
    <row r="57" spans="1:13" ht="17.25" hidden="1" customHeight="1" x14ac:dyDescent="0.25">
      <c r="A57" s="84"/>
      <c r="B57" s="85"/>
      <c r="C57" s="85"/>
      <c r="D57" s="551"/>
      <c r="E57" s="54"/>
      <c r="F57" s="38"/>
      <c r="G57" s="38"/>
      <c r="H57" s="39" t="e">
        <f>G57-#REF!</f>
        <v>#REF!</v>
      </c>
      <c r="I57" s="741" t="e">
        <f>H57/G57*100</f>
        <v>#REF!</v>
      </c>
      <c r="J57" s="89"/>
      <c r="K57" s="25"/>
      <c r="L57" s="25"/>
      <c r="M57" s="25"/>
    </row>
    <row r="58" spans="1:13" ht="17.25" hidden="1" customHeight="1" x14ac:dyDescent="0.25">
      <c r="A58" s="84"/>
      <c r="B58" s="85"/>
      <c r="C58" s="85"/>
      <c r="D58" s="552"/>
      <c r="E58" s="39"/>
      <c r="F58" s="38"/>
      <c r="G58" s="38"/>
      <c r="H58" s="39"/>
      <c r="I58" s="741" t="e">
        <f>H58/G58*100</f>
        <v>#DIV/0!</v>
      </c>
      <c r="J58" s="89"/>
      <c r="K58" s="25"/>
      <c r="L58" s="25"/>
      <c r="M58" s="25"/>
    </row>
    <row r="59" spans="1:13" ht="17.25" hidden="1" customHeight="1" x14ac:dyDescent="0.25">
      <c r="A59" s="84"/>
      <c r="B59" s="85"/>
      <c r="C59" s="85"/>
      <c r="D59" s="552"/>
      <c r="E59" s="39"/>
      <c r="F59" s="38"/>
      <c r="G59" s="38"/>
      <c r="H59" s="39"/>
      <c r="I59" s="741" t="e">
        <f>H59/G59*100</f>
        <v>#DIV/0!</v>
      </c>
      <c r="J59" s="89"/>
      <c r="K59" s="25"/>
      <c r="L59" s="25"/>
      <c r="M59" s="25"/>
    </row>
    <row r="60" spans="1:13" ht="17.25" hidden="1" customHeight="1" x14ac:dyDescent="0.25">
      <c r="A60" s="26" t="s">
        <v>25</v>
      </c>
      <c r="B60" s="86" t="s">
        <v>26</v>
      </c>
      <c r="C60" s="87"/>
      <c r="D60" s="71" t="s">
        <v>22</v>
      </c>
      <c r="E60" s="70">
        <f t="shared" ref="E60:H60" si="11">SUM(E61:E62)</f>
        <v>0</v>
      </c>
      <c r="F60" s="70">
        <f t="shared" si="11"/>
        <v>0</v>
      </c>
      <c r="G60" s="70">
        <f t="shared" si="11"/>
        <v>0</v>
      </c>
      <c r="H60" s="70" t="e">
        <f t="shared" si="11"/>
        <v>#REF!</v>
      </c>
      <c r="I60" s="741" t="e">
        <f>H60/G60*100</f>
        <v>#REF!</v>
      </c>
      <c r="J60" s="47"/>
      <c r="K60" s="25"/>
      <c r="L60" s="25"/>
      <c r="M60" s="25"/>
    </row>
    <row r="61" spans="1:13" ht="48" hidden="1" customHeight="1" x14ac:dyDescent="0.25">
      <c r="A61" s="84"/>
      <c r="B61" s="85"/>
      <c r="C61" s="85"/>
      <c r="D61" s="553"/>
      <c r="E61" s="54"/>
      <c r="F61" s="38"/>
      <c r="G61" s="38"/>
      <c r="H61" s="487" t="e">
        <f>G61-#REF!</f>
        <v>#REF!</v>
      </c>
      <c r="I61" s="741" t="e">
        <f>H61/G61*100</f>
        <v>#REF!</v>
      </c>
      <c r="J61" s="89"/>
      <c r="K61" s="25"/>
      <c r="L61" s="25"/>
      <c r="M61" s="25"/>
    </row>
    <row r="62" spans="1:13" ht="17.25" hidden="1" customHeight="1" x14ac:dyDescent="0.25">
      <c r="A62" s="84"/>
      <c r="B62" s="85"/>
      <c r="C62" s="85"/>
      <c r="D62" s="550"/>
      <c r="E62" s="54"/>
      <c r="F62" s="38"/>
      <c r="G62" s="38"/>
      <c r="H62" s="39" t="e">
        <f>G62-#REF!</f>
        <v>#REF!</v>
      </c>
      <c r="I62" s="741" t="e">
        <f>H62/G62*100</f>
        <v>#REF!</v>
      </c>
      <c r="J62" s="89"/>
      <c r="K62" s="25"/>
      <c r="L62" s="25"/>
      <c r="M62" s="25"/>
    </row>
    <row r="63" spans="1:13" ht="30" hidden="1" customHeight="1" x14ac:dyDescent="0.25">
      <c r="A63" s="26" t="s">
        <v>27</v>
      </c>
      <c r="B63" s="92" t="s">
        <v>28</v>
      </c>
      <c r="C63" s="93"/>
      <c r="D63" s="94" t="s">
        <v>22</v>
      </c>
      <c r="E63" s="95">
        <f t="shared" ref="E63:H63" si="12">SUM(E64:E65)</f>
        <v>0</v>
      </c>
      <c r="F63" s="95">
        <f t="shared" si="12"/>
        <v>0</v>
      </c>
      <c r="G63" s="95">
        <f t="shared" si="12"/>
        <v>0</v>
      </c>
      <c r="H63" s="95" t="e">
        <f t="shared" si="12"/>
        <v>#REF!</v>
      </c>
      <c r="I63" s="741" t="e">
        <f>H63/G63*100</f>
        <v>#REF!</v>
      </c>
      <c r="J63" s="64"/>
      <c r="K63" s="96"/>
      <c r="L63" s="96"/>
      <c r="M63" s="25"/>
    </row>
    <row r="64" spans="1:13" hidden="1" x14ac:dyDescent="0.25">
      <c r="A64" s="84"/>
      <c r="B64" s="85"/>
      <c r="C64" s="85"/>
      <c r="D64" s="554"/>
      <c r="E64" s="39"/>
      <c r="F64" s="39"/>
      <c r="G64" s="38"/>
      <c r="H64" s="39" t="e">
        <f>G64-#REF!</f>
        <v>#REF!</v>
      </c>
      <c r="I64" s="741" t="e">
        <f>H64/G64*100</f>
        <v>#REF!</v>
      </c>
      <c r="J64" s="89"/>
      <c r="K64" s="96"/>
      <c r="L64" s="96"/>
      <c r="M64" s="25"/>
    </row>
    <row r="65" spans="1:16" ht="48.75" hidden="1" customHeight="1" x14ac:dyDescent="0.25">
      <c r="A65" s="84"/>
      <c r="B65" s="85"/>
      <c r="C65" s="85"/>
      <c r="D65" s="553"/>
      <c r="E65" s="39"/>
      <c r="F65" s="39"/>
      <c r="G65" s="38"/>
      <c r="H65" s="487" t="e">
        <f>G65-#REF!</f>
        <v>#REF!</v>
      </c>
      <c r="I65" s="741" t="e">
        <f>H65/G65*100</f>
        <v>#REF!</v>
      </c>
      <c r="J65" s="89"/>
      <c r="K65" s="96"/>
      <c r="L65" s="96"/>
      <c r="M65" s="25"/>
    </row>
    <row r="66" spans="1:16" ht="18.75" hidden="1" customHeight="1" x14ac:dyDescent="0.25">
      <c r="A66" s="84"/>
      <c r="B66" s="85"/>
      <c r="C66" s="85"/>
      <c r="D66" s="552"/>
      <c r="E66" s="39"/>
      <c r="F66" s="38"/>
      <c r="G66" s="38"/>
      <c r="H66" s="39" t="e">
        <f>G66-#REF!</f>
        <v>#REF!</v>
      </c>
      <c r="I66" s="741" t="e">
        <f>H66/G66*100</f>
        <v>#REF!</v>
      </c>
      <c r="J66" s="89"/>
      <c r="K66" s="96"/>
      <c r="L66" s="96"/>
      <c r="M66" s="25"/>
    </row>
    <row r="67" spans="1:16" ht="30" hidden="1" customHeight="1" x14ac:dyDescent="0.25">
      <c r="A67" s="84"/>
      <c r="B67" s="85"/>
      <c r="C67" s="85"/>
      <c r="D67" s="555"/>
      <c r="E67" s="39"/>
      <c r="F67" s="38"/>
      <c r="G67" s="38"/>
      <c r="H67" s="39"/>
      <c r="I67" s="741" t="e">
        <f>H67/G67*100</f>
        <v>#DIV/0!</v>
      </c>
      <c r="J67" s="89"/>
      <c r="K67" s="25"/>
      <c r="L67" s="25"/>
      <c r="M67" s="25"/>
    </row>
    <row r="68" spans="1:16" ht="30" hidden="1" customHeight="1" x14ac:dyDescent="0.25">
      <c r="A68" s="26" t="s">
        <v>29</v>
      </c>
      <c r="B68" s="86" t="s">
        <v>30</v>
      </c>
      <c r="C68" s="87"/>
      <c r="D68" s="71"/>
      <c r="E68" s="95"/>
      <c r="F68" s="70">
        <f>SUM(F69)</f>
        <v>0</v>
      </c>
      <c r="G68" s="70">
        <f>SUM(G69)</f>
        <v>0</v>
      </c>
      <c r="H68" s="95">
        <f>SUM(H69)</f>
        <v>0</v>
      </c>
      <c r="I68" s="741" t="e">
        <f>H68/G68*100</f>
        <v>#DIV/0!</v>
      </c>
      <c r="J68" s="64"/>
      <c r="K68" s="25"/>
      <c r="L68" s="25"/>
      <c r="M68" s="25"/>
    </row>
    <row r="69" spans="1:16" ht="30" hidden="1" customHeight="1" x14ac:dyDescent="0.25">
      <c r="A69" s="84"/>
      <c r="B69" s="85"/>
      <c r="C69" s="85"/>
      <c r="D69" s="556"/>
      <c r="E69" s="39"/>
      <c r="F69" s="38"/>
      <c r="G69" s="38"/>
      <c r="H69" s="39"/>
      <c r="I69" s="741" t="e">
        <f>H69/G69*100</f>
        <v>#DIV/0!</v>
      </c>
      <c r="J69" s="89"/>
      <c r="K69" s="25"/>
      <c r="L69" s="25"/>
      <c r="M69" s="25"/>
    </row>
    <row r="70" spans="1:16" ht="30" hidden="1" customHeight="1" x14ac:dyDescent="0.25">
      <c r="A70" s="84"/>
      <c r="B70" s="85"/>
      <c r="C70" s="85"/>
      <c r="D70" s="545"/>
      <c r="E70" s="39"/>
      <c r="F70" s="38"/>
      <c r="G70" s="38"/>
      <c r="H70" s="39"/>
      <c r="I70" s="741" t="e">
        <f>H70/G70*100</f>
        <v>#DIV/0!</v>
      </c>
      <c r="J70" s="89"/>
      <c r="K70" s="25"/>
      <c r="L70" s="25"/>
      <c r="M70" s="25"/>
    </row>
    <row r="71" spans="1:16" s="103" customFormat="1" ht="30" hidden="1" customHeight="1" x14ac:dyDescent="0.3">
      <c r="A71" s="26" t="s">
        <v>31</v>
      </c>
      <c r="B71" s="87" t="s">
        <v>32</v>
      </c>
      <c r="C71" s="97"/>
      <c r="D71" s="98"/>
      <c r="E71" s="99">
        <f t="shared" ref="E71:H72" si="13">E72</f>
        <v>0</v>
      </c>
      <c r="F71" s="99">
        <f t="shared" si="13"/>
        <v>0</v>
      </c>
      <c r="G71" s="99">
        <f t="shared" si="13"/>
        <v>0</v>
      </c>
      <c r="H71" s="99" t="e">
        <f t="shared" si="13"/>
        <v>#REF!</v>
      </c>
      <c r="I71" s="741" t="e">
        <f>H71/G71*100</f>
        <v>#REF!</v>
      </c>
      <c r="J71" s="100"/>
      <c r="K71" s="101"/>
      <c r="L71" s="101"/>
      <c r="M71" s="101"/>
      <c r="N71" s="102"/>
      <c r="O71" s="102"/>
      <c r="P71" s="102"/>
    </row>
    <row r="72" spans="1:16" s="110" customFormat="1" ht="30" hidden="1" customHeight="1" x14ac:dyDescent="0.35">
      <c r="A72" s="104"/>
      <c r="B72" s="105"/>
      <c r="C72" s="105"/>
      <c r="D72" s="557" t="s">
        <v>15</v>
      </c>
      <c r="E72" s="106">
        <f t="shared" si="13"/>
        <v>0</v>
      </c>
      <c r="F72" s="63">
        <f t="shared" si="13"/>
        <v>0</v>
      </c>
      <c r="G72" s="63">
        <f t="shared" si="13"/>
        <v>0</v>
      </c>
      <c r="H72" s="63" t="e">
        <f t="shared" si="13"/>
        <v>#REF!</v>
      </c>
      <c r="I72" s="741" t="e">
        <f>H72/G72*100</f>
        <v>#REF!</v>
      </c>
      <c r="J72" s="107"/>
      <c r="K72" s="108"/>
      <c r="L72" s="108"/>
      <c r="M72" s="108"/>
      <c r="N72" s="109"/>
      <c r="O72" s="109"/>
      <c r="P72" s="109"/>
    </row>
    <row r="73" spans="1:16" ht="30" hidden="1" customHeight="1" x14ac:dyDescent="0.25">
      <c r="A73" s="111"/>
      <c r="B73" s="112"/>
      <c r="C73" s="113"/>
      <c r="D73" s="114" t="s">
        <v>33</v>
      </c>
      <c r="E73" s="115">
        <f t="shared" ref="E73:H73" si="14">SUM(E74:E76)</f>
        <v>0</v>
      </c>
      <c r="F73" s="115">
        <f t="shared" si="14"/>
        <v>0</v>
      </c>
      <c r="G73" s="115">
        <f t="shared" si="14"/>
        <v>0</v>
      </c>
      <c r="H73" s="115" t="e">
        <f t="shared" si="14"/>
        <v>#REF!</v>
      </c>
      <c r="I73" s="741" t="e">
        <f>H73/G73*100</f>
        <v>#REF!</v>
      </c>
      <c r="J73" s="100"/>
      <c r="K73" s="25"/>
      <c r="L73" s="25"/>
      <c r="M73" s="25"/>
    </row>
    <row r="74" spans="1:16" ht="30" hidden="1" customHeight="1" x14ac:dyDescent="0.25">
      <c r="A74" s="116"/>
      <c r="B74" s="117"/>
      <c r="C74" s="118"/>
      <c r="D74" s="540"/>
      <c r="E74" s="83"/>
      <c r="F74" s="39"/>
      <c r="G74" s="119"/>
      <c r="H74" s="39" t="e">
        <f>G74-#REF!</f>
        <v>#REF!</v>
      </c>
      <c r="I74" s="741" t="e">
        <f>H74/G74*100</f>
        <v>#REF!</v>
      </c>
      <c r="J74" s="89"/>
      <c r="K74" s="25"/>
      <c r="L74" s="25"/>
      <c r="M74" s="25"/>
    </row>
    <row r="75" spans="1:16" ht="30" hidden="1" customHeight="1" x14ac:dyDescent="0.25">
      <c r="A75" s="116"/>
      <c r="B75" s="117"/>
      <c r="C75" s="118"/>
      <c r="D75" s="540"/>
      <c r="E75" s="83"/>
      <c r="F75" s="39"/>
      <c r="G75" s="119"/>
      <c r="H75" s="39" t="e">
        <f>G75-#REF!</f>
        <v>#REF!</v>
      </c>
      <c r="I75" s="741" t="e">
        <f>H75/G75*100</f>
        <v>#REF!</v>
      </c>
      <c r="J75" s="89"/>
      <c r="K75" s="25"/>
      <c r="L75" s="25"/>
      <c r="M75" s="25"/>
    </row>
    <row r="76" spans="1:16" ht="30" hidden="1" customHeight="1" x14ac:dyDescent="0.25">
      <c r="A76" s="116"/>
      <c r="B76" s="117"/>
      <c r="C76" s="118"/>
      <c r="D76" s="540"/>
      <c r="E76" s="83"/>
      <c r="F76" s="119"/>
      <c r="G76" s="119"/>
      <c r="H76" s="39" t="e">
        <f>G76-#REF!</f>
        <v>#REF!</v>
      </c>
      <c r="I76" s="741" t="e">
        <f>H76/G76*100</f>
        <v>#REF!</v>
      </c>
      <c r="J76" s="89"/>
      <c r="K76" s="25"/>
      <c r="L76" s="25"/>
      <c r="M76" s="25"/>
    </row>
    <row r="77" spans="1:16" ht="30" hidden="1" customHeight="1" x14ac:dyDescent="0.3">
      <c r="A77" s="86" t="s">
        <v>34</v>
      </c>
      <c r="B77" s="120">
        <v>6082</v>
      </c>
      <c r="C77" s="121"/>
      <c r="D77" s="558"/>
      <c r="E77" s="122">
        <f t="shared" ref="E77:H77" si="15">E78</f>
        <v>0</v>
      </c>
      <c r="F77" s="122">
        <f t="shared" si="15"/>
        <v>0</v>
      </c>
      <c r="G77" s="122">
        <f t="shared" si="15"/>
        <v>0</v>
      </c>
      <c r="H77" s="122" t="e">
        <f t="shared" si="15"/>
        <v>#REF!</v>
      </c>
      <c r="I77" s="741" t="e">
        <f>H77/G77*100</f>
        <v>#REF!</v>
      </c>
      <c r="J77" s="123"/>
      <c r="K77" s="25" t="e">
        <f>H77+#REF!</f>
        <v>#REF!</v>
      </c>
      <c r="L77" s="25" t="e">
        <f>I77+#REF!</f>
        <v>#REF!</v>
      </c>
      <c r="M77" s="25"/>
    </row>
    <row r="78" spans="1:16" ht="30" hidden="1" customHeight="1" x14ac:dyDescent="0.3">
      <c r="A78" s="124"/>
      <c r="B78" s="125"/>
      <c r="C78" s="126"/>
      <c r="D78" s="557" t="s">
        <v>35</v>
      </c>
      <c r="E78" s="48">
        <f t="shared" ref="E78:H78" si="16">SUM(E79)</f>
        <v>0</v>
      </c>
      <c r="F78" s="48">
        <f t="shared" si="16"/>
        <v>0</v>
      </c>
      <c r="G78" s="48">
        <f t="shared" si="16"/>
        <v>0</v>
      </c>
      <c r="H78" s="48" t="e">
        <f t="shared" si="16"/>
        <v>#REF!</v>
      </c>
      <c r="I78" s="741" t="e">
        <f>H78/G78*100</f>
        <v>#REF!</v>
      </c>
      <c r="J78" s="49"/>
      <c r="K78" s="25" t="e">
        <f>H78+#REF!</f>
        <v>#REF!</v>
      </c>
      <c r="L78" s="25" t="e">
        <f>I78+#REF!</f>
        <v>#REF!</v>
      </c>
      <c r="M78" s="25"/>
    </row>
    <row r="79" spans="1:16" ht="30" hidden="1" customHeight="1" x14ac:dyDescent="0.25">
      <c r="A79" s="116"/>
      <c r="B79" s="117"/>
      <c r="C79" s="118"/>
      <c r="D79" s="559" t="s">
        <v>36</v>
      </c>
      <c r="E79" s="127">
        <f t="shared" ref="E79:H79" si="17">E80</f>
        <v>0</v>
      </c>
      <c r="F79" s="127">
        <f t="shared" si="17"/>
        <v>0</v>
      </c>
      <c r="G79" s="127">
        <f t="shared" si="17"/>
        <v>0</v>
      </c>
      <c r="H79" s="127" t="e">
        <f t="shared" si="17"/>
        <v>#REF!</v>
      </c>
      <c r="I79" s="741" t="e">
        <f>H79/G79*100</f>
        <v>#REF!</v>
      </c>
      <c r="J79" s="128"/>
      <c r="K79" s="25"/>
      <c r="L79" s="25"/>
      <c r="M79" s="25"/>
    </row>
    <row r="80" spans="1:16" ht="30" hidden="1" customHeight="1" x14ac:dyDescent="0.25">
      <c r="A80" s="116"/>
      <c r="B80" s="117"/>
      <c r="C80" s="118"/>
      <c r="D80" s="560"/>
      <c r="E80" s="129"/>
      <c r="F80" s="37"/>
      <c r="G80" s="130"/>
      <c r="H80" s="39" t="e">
        <f>G80-#REF!</f>
        <v>#REF!</v>
      </c>
      <c r="I80" s="741" t="e">
        <f>H80/G80*100</f>
        <v>#REF!</v>
      </c>
      <c r="J80" s="89"/>
      <c r="K80" s="25"/>
      <c r="L80" s="25"/>
      <c r="M80" s="25"/>
    </row>
    <row r="81" spans="1:16" ht="30" hidden="1" customHeight="1" x14ac:dyDescent="0.25">
      <c r="A81" s="116"/>
      <c r="B81" s="117"/>
      <c r="C81" s="118"/>
      <c r="D81" s="560"/>
      <c r="E81" s="129"/>
      <c r="F81" s="37"/>
      <c r="G81" s="130"/>
      <c r="H81" s="39" t="e">
        <f>G81-#REF!</f>
        <v>#REF!</v>
      </c>
      <c r="I81" s="741" t="e">
        <f>H81/G81*100</f>
        <v>#REF!</v>
      </c>
      <c r="J81" s="89"/>
      <c r="K81" s="25"/>
      <c r="L81" s="25"/>
      <c r="M81" s="25"/>
    </row>
    <row r="82" spans="1:16" ht="20.25" customHeight="1" x14ac:dyDescent="0.25">
      <c r="A82" s="86" t="s">
        <v>37</v>
      </c>
      <c r="B82" s="120">
        <v>6083</v>
      </c>
      <c r="C82" s="131"/>
      <c r="D82" s="561"/>
      <c r="E82" s="70">
        <f t="shared" ref="E82:H82" si="18">E83</f>
        <v>1000000</v>
      </c>
      <c r="F82" s="70">
        <f t="shared" si="18"/>
        <v>1000000</v>
      </c>
      <c r="G82" s="132">
        <f t="shared" si="18"/>
        <v>1000000</v>
      </c>
      <c r="H82" s="132">
        <f t="shared" si="18"/>
        <v>0</v>
      </c>
      <c r="I82" s="745">
        <f>H82/G82*100</f>
        <v>0</v>
      </c>
      <c r="J82" s="34"/>
      <c r="K82" s="25"/>
      <c r="L82" s="25"/>
      <c r="M82" s="25"/>
    </row>
    <row r="83" spans="1:16" s="53" customFormat="1" ht="18.75" customHeight="1" x14ac:dyDescent="0.25">
      <c r="A83" s="124"/>
      <c r="B83" s="133"/>
      <c r="C83" s="134"/>
      <c r="D83" s="559" t="s">
        <v>14</v>
      </c>
      <c r="E83" s="135">
        <f t="shared" ref="E83:H83" si="19">SUM(E84:E85)</f>
        <v>1000000</v>
      </c>
      <c r="F83" s="135">
        <f t="shared" si="19"/>
        <v>1000000</v>
      </c>
      <c r="G83" s="135">
        <f t="shared" si="19"/>
        <v>1000000</v>
      </c>
      <c r="H83" s="135">
        <f t="shared" si="19"/>
        <v>0</v>
      </c>
      <c r="I83" s="746">
        <f>H83/G83*100</f>
        <v>0</v>
      </c>
      <c r="J83" s="82"/>
      <c r="K83" s="51"/>
      <c r="L83" s="51"/>
      <c r="M83" s="51"/>
      <c r="N83" s="52"/>
      <c r="O83" s="52"/>
      <c r="P83" s="52"/>
    </row>
    <row r="84" spans="1:16" s="141" customFormat="1" ht="39.75" customHeight="1" x14ac:dyDescent="0.25">
      <c r="A84" s="136"/>
      <c r="B84" s="117"/>
      <c r="C84" s="118"/>
      <c r="D84" s="540" t="s">
        <v>156</v>
      </c>
      <c r="E84" s="137">
        <f>1000000</f>
        <v>1000000</v>
      </c>
      <c r="F84" s="137">
        <f>1000000</f>
        <v>1000000</v>
      </c>
      <c r="G84" s="130">
        <f>1000000</f>
        <v>1000000</v>
      </c>
      <c r="H84" s="39"/>
      <c r="I84" s="734">
        <f>H84/G84*100</f>
        <v>0</v>
      </c>
      <c r="J84" s="89"/>
      <c r="K84" s="139"/>
      <c r="L84" s="139"/>
      <c r="M84" s="139"/>
      <c r="N84" s="140"/>
      <c r="O84" s="140"/>
      <c r="P84" s="140"/>
    </row>
    <row r="85" spans="1:16" s="141" customFormat="1" hidden="1" x14ac:dyDescent="0.25">
      <c r="A85" s="136"/>
      <c r="B85" s="117"/>
      <c r="C85" s="118"/>
      <c r="D85" s="562"/>
      <c r="E85" s="137"/>
      <c r="F85" s="137"/>
      <c r="G85" s="130"/>
      <c r="H85" s="487"/>
      <c r="I85" s="734" t="e">
        <f>H85/G85*100</f>
        <v>#DIV/0!</v>
      </c>
      <c r="J85" s="89"/>
      <c r="K85" s="139"/>
      <c r="L85" s="139"/>
      <c r="M85" s="139"/>
      <c r="N85" s="140"/>
      <c r="O85" s="140"/>
      <c r="P85" s="140"/>
    </row>
    <row r="86" spans="1:16" s="141" customFormat="1" ht="15" customHeight="1" x14ac:dyDescent="0.25">
      <c r="A86" s="136"/>
      <c r="B86" s="117"/>
      <c r="C86" s="118"/>
      <c r="D86" s="540"/>
      <c r="E86" s="137"/>
      <c r="F86" s="38"/>
      <c r="G86" s="130"/>
      <c r="H86" s="39"/>
      <c r="I86" s="734"/>
      <c r="J86" s="89"/>
      <c r="K86" s="139"/>
      <c r="L86" s="139"/>
      <c r="M86" s="139"/>
      <c r="N86" s="140"/>
      <c r="O86" s="140"/>
      <c r="P86" s="140"/>
    </row>
    <row r="87" spans="1:16" ht="22.5" customHeight="1" x14ac:dyDescent="0.3">
      <c r="A87" s="86" t="s">
        <v>38</v>
      </c>
      <c r="B87" s="120">
        <v>7321</v>
      </c>
      <c r="C87" s="121"/>
      <c r="D87" s="558"/>
      <c r="E87" s="142">
        <f t="shared" ref="E87:G87" si="20">E88+E95</f>
        <v>0</v>
      </c>
      <c r="F87" s="122">
        <f t="shared" si="20"/>
        <v>30000</v>
      </c>
      <c r="G87" s="122">
        <f t="shared" si="20"/>
        <v>30000</v>
      </c>
      <c r="H87" s="122">
        <f>H88</f>
        <v>0</v>
      </c>
      <c r="I87" s="745">
        <f>H87/G87*100</f>
        <v>0</v>
      </c>
      <c r="J87" s="123"/>
      <c r="K87" s="25"/>
      <c r="L87" s="25"/>
      <c r="M87" s="25"/>
    </row>
    <row r="88" spans="1:16" ht="26.25" customHeight="1" x14ac:dyDescent="0.3">
      <c r="A88" s="124"/>
      <c r="B88" s="125"/>
      <c r="C88" s="126"/>
      <c r="D88" s="557" t="s">
        <v>14</v>
      </c>
      <c r="E88" s="48">
        <f t="shared" ref="E88:G88" si="21">SUM(E89:E94)</f>
        <v>0</v>
      </c>
      <c r="F88" s="48">
        <f t="shared" si="21"/>
        <v>30000</v>
      </c>
      <c r="G88" s="48">
        <f t="shared" si="21"/>
        <v>30000</v>
      </c>
      <c r="H88" s="48">
        <f>H89</f>
        <v>0</v>
      </c>
      <c r="I88" s="744">
        <f>H88/G88*100</f>
        <v>0</v>
      </c>
      <c r="J88" s="49"/>
      <c r="K88" s="25"/>
      <c r="L88" s="25"/>
      <c r="M88" s="25"/>
    </row>
    <row r="89" spans="1:16" ht="93.75" customHeight="1" x14ac:dyDescent="0.25">
      <c r="A89" s="136"/>
      <c r="B89" s="143"/>
      <c r="C89" s="40"/>
      <c r="D89" s="612" t="s">
        <v>225</v>
      </c>
      <c r="E89" s="54"/>
      <c r="F89" s="54">
        <f>30000</f>
        <v>30000</v>
      </c>
      <c r="G89" s="130">
        <f>30000</f>
        <v>30000</v>
      </c>
      <c r="H89" s="39"/>
      <c r="I89" s="734">
        <f>H89/G89*100</f>
        <v>0</v>
      </c>
      <c r="J89" s="89"/>
      <c r="K89" s="25"/>
      <c r="L89" s="25"/>
      <c r="M89" s="25"/>
    </row>
    <row r="90" spans="1:16" ht="24" hidden="1" customHeight="1" x14ac:dyDescent="0.25">
      <c r="A90" s="136"/>
      <c r="B90" s="144"/>
      <c r="C90" s="118"/>
      <c r="D90" s="563"/>
      <c r="E90" s="54"/>
      <c r="F90" s="54"/>
      <c r="G90" s="130"/>
      <c r="H90" s="39" t="e">
        <f>G90-#REF!</f>
        <v>#REF!</v>
      </c>
      <c r="I90" s="734" t="e">
        <f>H90/G90*100</f>
        <v>#REF!</v>
      </c>
      <c r="J90" s="89"/>
      <c r="K90" s="25"/>
      <c r="L90" s="25"/>
      <c r="M90" s="25"/>
    </row>
    <row r="91" spans="1:16" ht="24" hidden="1" customHeight="1" x14ac:dyDescent="0.25">
      <c r="A91" s="136"/>
      <c r="B91" s="144"/>
      <c r="C91" s="118"/>
      <c r="D91" s="545"/>
      <c r="E91" s="54"/>
      <c r="F91" s="54"/>
      <c r="G91" s="130"/>
      <c r="H91" s="39" t="e">
        <f>G91-#REF!</f>
        <v>#REF!</v>
      </c>
      <c r="I91" s="734" t="e">
        <f>H91/G91*100</f>
        <v>#REF!</v>
      </c>
      <c r="J91" s="89"/>
      <c r="K91" s="25"/>
      <c r="L91" s="25"/>
      <c r="M91" s="25"/>
    </row>
    <row r="92" spans="1:16" ht="23.25" hidden="1" customHeight="1" x14ac:dyDescent="0.25">
      <c r="A92" s="136"/>
      <c r="B92" s="144"/>
      <c r="C92" s="118"/>
      <c r="D92" s="545"/>
      <c r="E92" s="54"/>
      <c r="F92" s="54"/>
      <c r="G92" s="130"/>
      <c r="H92" s="39" t="e">
        <f>G92-#REF!</f>
        <v>#REF!</v>
      </c>
      <c r="I92" s="734" t="e">
        <f>H92/G92*100</f>
        <v>#REF!</v>
      </c>
      <c r="J92" s="89"/>
      <c r="K92" s="25"/>
      <c r="L92" s="25"/>
      <c r="M92" s="25"/>
    </row>
    <row r="93" spans="1:16" ht="23.25" hidden="1" customHeight="1" x14ac:dyDescent="0.25">
      <c r="A93" s="136"/>
      <c r="B93" s="144"/>
      <c r="C93" s="118"/>
      <c r="D93" s="541"/>
      <c r="E93" s="54"/>
      <c r="F93" s="54"/>
      <c r="G93" s="130"/>
      <c r="H93" s="39" t="e">
        <f>G93-#REF!</f>
        <v>#REF!</v>
      </c>
      <c r="I93" s="734" t="e">
        <f>H93/G93*100</f>
        <v>#REF!</v>
      </c>
      <c r="J93" s="89"/>
      <c r="K93" s="25"/>
      <c r="L93" s="25"/>
      <c r="M93" s="25"/>
    </row>
    <row r="94" spans="1:16" ht="15.75" hidden="1" customHeight="1" x14ac:dyDescent="0.25">
      <c r="A94" s="84"/>
      <c r="B94" s="145"/>
      <c r="C94" s="146"/>
      <c r="D94" s="564"/>
      <c r="E94" s="147"/>
      <c r="F94" s="37"/>
      <c r="G94" s="38"/>
      <c r="H94" s="39" t="e">
        <f>G94-#REF!</f>
        <v>#REF!</v>
      </c>
      <c r="I94" s="734" t="e">
        <f>H94/G94*100</f>
        <v>#REF!</v>
      </c>
      <c r="J94" s="89"/>
      <c r="K94" s="25"/>
      <c r="L94" s="25"/>
      <c r="M94" s="25"/>
    </row>
    <row r="95" spans="1:16" ht="15.75" hidden="1" customHeight="1" x14ac:dyDescent="0.3">
      <c r="A95" s="148"/>
      <c r="B95" s="133"/>
      <c r="C95" s="134"/>
      <c r="D95" s="557" t="s">
        <v>16</v>
      </c>
      <c r="E95" s="46">
        <f t="shared" ref="E95:H95" si="22">SUM(E96:E101)</f>
        <v>0</v>
      </c>
      <c r="F95" s="46">
        <f t="shared" si="22"/>
        <v>0</v>
      </c>
      <c r="G95" s="46">
        <f t="shared" si="22"/>
        <v>0</v>
      </c>
      <c r="H95" s="46" t="e">
        <f t="shared" si="22"/>
        <v>#REF!</v>
      </c>
      <c r="I95" s="734" t="e">
        <f>H95/G95*100</f>
        <v>#REF!</v>
      </c>
      <c r="J95" s="47"/>
      <c r="K95" s="25"/>
      <c r="L95" s="25"/>
      <c r="M95" s="25"/>
    </row>
    <row r="96" spans="1:16" hidden="1" x14ac:dyDescent="0.25">
      <c r="A96" s="84"/>
      <c r="B96" s="117"/>
      <c r="C96" s="118"/>
      <c r="D96" s="540"/>
      <c r="E96" s="54"/>
      <c r="F96" s="54"/>
      <c r="G96" s="38"/>
      <c r="H96" s="39" t="e">
        <f>G96-#REF!</f>
        <v>#REF!</v>
      </c>
      <c r="I96" s="734" t="e">
        <f>H96/G96*100</f>
        <v>#REF!</v>
      </c>
      <c r="J96" s="89"/>
      <c r="K96" s="25"/>
      <c r="L96" s="25"/>
      <c r="M96" s="25"/>
    </row>
    <row r="97" spans="1:13" hidden="1" x14ac:dyDescent="0.25">
      <c r="A97" s="84"/>
      <c r="B97" s="117"/>
      <c r="C97" s="118"/>
      <c r="D97" s="540"/>
      <c r="E97" s="54"/>
      <c r="F97" s="54"/>
      <c r="G97" s="38"/>
      <c r="H97" s="39" t="e">
        <f>G97-#REF!</f>
        <v>#REF!</v>
      </c>
      <c r="I97" s="734" t="e">
        <f>H97/G97*100</f>
        <v>#REF!</v>
      </c>
      <c r="J97" s="89"/>
      <c r="K97" s="25"/>
      <c r="L97" s="25"/>
      <c r="M97" s="25"/>
    </row>
    <row r="98" spans="1:13" ht="20.25" hidden="1" customHeight="1" x14ac:dyDescent="0.25">
      <c r="A98" s="84"/>
      <c r="B98" s="117"/>
      <c r="C98" s="118"/>
      <c r="D98" s="540"/>
      <c r="E98" s="54"/>
      <c r="F98" s="54"/>
      <c r="G98" s="38"/>
      <c r="H98" s="39" t="e">
        <f>G98-#REF!</f>
        <v>#REF!</v>
      </c>
      <c r="I98" s="734" t="e">
        <f>H98/G98*100</f>
        <v>#REF!</v>
      </c>
      <c r="J98" s="89"/>
      <c r="K98" s="25"/>
      <c r="L98" s="25"/>
      <c r="M98" s="25"/>
    </row>
    <row r="99" spans="1:13" ht="20.25" hidden="1" customHeight="1" x14ac:dyDescent="0.25">
      <c r="A99" s="84"/>
      <c r="B99" s="117"/>
      <c r="C99" s="118"/>
      <c r="D99" s="540"/>
      <c r="E99" s="54"/>
      <c r="F99" s="54"/>
      <c r="G99" s="38"/>
      <c r="H99" s="39" t="e">
        <f>G99-#REF!</f>
        <v>#REF!</v>
      </c>
      <c r="I99" s="734" t="e">
        <f>H99/G99*100</f>
        <v>#REF!</v>
      </c>
      <c r="J99" s="89"/>
      <c r="K99" s="25"/>
      <c r="L99" s="25"/>
      <c r="M99" s="25"/>
    </row>
    <row r="100" spans="1:13" ht="20.25" hidden="1" customHeight="1" x14ac:dyDescent="0.25">
      <c r="A100" s="84"/>
      <c r="B100" s="149"/>
      <c r="C100" s="117"/>
      <c r="D100" s="540"/>
      <c r="E100" s="54"/>
      <c r="F100" s="54"/>
      <c r="G100" s="38"/>
      <c r="H100" s="39" t="e">
        <f>G100-#REF!</f>
        <v>#REF!</v>
      </c>
      <c r="I100" s="734" t="e">
        <f>H100/G100*100</f>
        <v>#REF!</v>
      </c>
      <c r="J100" s="89"/>
      <c r="K100" s="25"/>
      <c r="L100" s="25"/>
      <c r="M100" s="25"/>
    </row>
    <row r="101" spans="1:13" ht="20.25" hidden="1" customHeight="1" x14ac:dyDescent="0.25">
      <c r="A101" s="84"/>
      <c r="B101" s="149"/>
      <c r="C101" s="117"/>
      <c r="D101" s="540"/>
      <c r="E101" s="54"/>
      <c r="F101" s="54"/>
      <c r="G101" s="38"/>
      <c r="H101" s="39" t="e">
        <f>G101-#REF!</f>
        <v>#REF!</v>
      </c>
      <c r="I101" s="734" t="e">
        <f>H101/G101*100</f>
        <v>#REF!</v>
      </c>
      <c r="J101" s="89"/>
      <c r="K101" s="25"/>
      <c r="L101" s="25"/>
      <c r="M101" s="25"/>
    </row>
    <row r="102" spans="1:13" ht="16.5" hidden="1" customHeight="1" x14ac:dyDescent="0.3">
      <c r="A102" s="84"/>
      <c r="B102" s="145"/>
      <c r="C102" s="145"/>
      <c r="D102" s="543"/>
      <c r="E102" s="147"/>
      <c r="F102" s="37"/>
      <c r="G102" s="38"/>
      <c r="H102" s="39"/>
      <c r="I102" s="734" t="e">
        <f>H102/G102*100</f>
        <v>#DIV/0!</v>
      </c>
      <c r="J102" s="89"/>
      <c r="K102" s="25"/>
      <c r="L102" s="25"/>
      <c r="M102" s="25"/>
    </row>
    <row r="103" spans="1:13" ht="26.25" hidden="1" customHeight="1" x14ac:dyDescent="0.25">
      <c r="A103" s="26" t="s">
        <v>39</v>
      </c>
      <c r="B103" s="150">
        <v>7322</v>
      </c>
      <c r="C103" s="69"/>
      <c r="D103" s="565"/>
      <c r="E103" s="70">
        <f t="shared" ref="E103:H103" si="23">E104+E110</f>
        <v>0</v>
      </c>
      <c r="F103" s="70">
        <f t="shared" si="23"/>
        <v>0</v>
      </c>
      <c r="G103" s="70">
        <f t="shared" si="23"/>
        <v>0</v>
      </c>
      <c r="H103" s="70" t="e">
        <f t="shared" si="23"/>
        <v>#REF!</v>
      </c>
      <c r="I103" s="734" t="e">
        <f>H103/G103*100</f>
        <v>#REF!</v>
      </c>
      <c r="J103" s="47"/>
      <c r="K103" s="25"/>
      <c r="L103" s="25"/>
      <c r="M103" s="25"/>
    </row>
    <row r="104" spans="1:13" ht="26.25" hidden="1" customHeight="1" x14ac:dyDescent="0.3">
      <c r="A104" s="31"/>
      <c r="B104" s="32"/>
      <c r="C104" s="151"/>
      <c r="D104" s="557" t="s">
        <v>16</v>
      </c>
      <c r="E104" s="63">
        <f t="shared" ref="E104:H104" si="24">E105</f>
        <v>0</v>
      </c>
      <c r="F104" s="63">
        <f t="shared" si="24"/>
        <v>0</v>
      </c>
      <c r="G104" s="63">
        <f t="shared" si="24"/>
        <v>0</v>
      </c>
      <c r="H104" s="63" t="e">
        <f t="shared" si="24"/>
        <v>#REF!</v>
      </c>
      <c r="I104" s="734" t="e">
        <f>H104/G104*100</f>
        <v>#REF!</v>
      </c>
      <c r="J104" s="64"/>
      <c r="K104" s="25"/>
      <c r="L104" s="25"/>
      <c r="M104" s="25"/>
    </row>
    <row r="105" spans="1:13" ht="21.75" hidden="1" customHeight="1" x14ac:dyDescent="0.25">
      <c r="A105" s="84"/>
      <c r="B105" s="145"/>
      <c r="C105" s="145"/>
      <c r="D105" s="446"/>
      <c r="E105" s="54"/>
      <c r="F105" s="54"/>
      <c r="G105" s="38"/>
      <c r="H105" s="39" t="e">
        <f>G105-#REF!</f>
        <v>#REF!</v>
      </c>
      <c r="I105" s="734" t="e">
        <f>H105/G105*100</f>
        <v>#REF!</v>
      </c>
      <c r="J105" s="89"/>
      <c r="K105" s="25"/>
      <c r="L105" s="25"/>
      <c r="M105" s="25"/>
    </row>
    <row r="106" spans="1:13" ht="26.25" hidden="1" customHeight="1" x14ac:dyDescent="0.3">
      <c r="A106" s="84"/>
      <c r="B106" s="145"/>
      <c r="C106" s="145"/>
      <c r="D106" s="543"/>
      <c r="E106" s="147"/>
      <c r="F106" s="37"/>
      <c r="G106" s="38"/>
      <c r="H106" s="39"/>
      <c r="I106" s="734" t="e">
        <f>H106/G106*100</f>
        <v>#DIV/0!</v>
      </c>
      <c r="J106" s="89"/>
      <c r="K106" s="25"/>
      <c r="L106" s="25"/>
      <c r="M106" s="25"/>
    </row>
    <row r="107" spans="1:13" ht="24.75" hidden="1" customHeight="1" x14ac:dyDescent="0.25">
      <c r="A107" s="26" t="s">
        <v>40</v>
      </c>
      <c r="B107" s="27" t="s">
        <v>41</v>
      </c>
      <c r="C107" s="69"/>
      <c r="D107" s="565"/>
      <c r="E107" s="70">
        <f t="shared" ref="E107:H107" si="25">E108+E112</f>
        <v>0</v>
      </c>
      <c r="F107" s="70">
        <f t="shared" si="25"/>
        <v>0</v>
      </c>
      <c r="G107" s="70">
        <f t="shared" si="25"/>
        <v>0</v>
      </c>
      <c r="H107" s="70" t="e">
        <f t="shared" si="25"/>
        <v>#REF!</v>
      </c>
      <c r="I107" s="734" t="e">
        <f>H107/G107*100</f>
        <v>#REF!</v>
      </c>
      <c r="J107" s="47"/>
      <c r="K107" s="25"/>
      <c r="L107" s="25"/>
      <c r="M107" s="25"/>
    </row>
    <row r="108" spans="1:13" ht="31.5" hidden="1" customHeight="1" x14ac:dyDescent="0.25">
      <c r="A108" s="31"/>
      <c r="B108" s="32"/>
      <c r="C108" s="151"/>
      <c r="D108" s="542" t="s">
        <v>14</v>
      </c>
      <c r="E108" s="63">
        <f>E109</f>
        <v>0</v>
      </c>
      <c r="F108" s="63">
        <f>SUM(F109:F110)</f>
        <v>0</v>
      </c>
      <c r="G108" s="63">
        <f>SUM(G109:G110)</f>
        <v>0</v>
      </c>
      <c r="H108" s="63" t="e">
        <f>SUM(H109:H110)</f>
        <v>#REF!</v>
      </c>
      <c r="I108" s="734" t="e">
        <f>H108/G108*100</f>
        <v>#REF!</v>
      </c>
      <c r="J108" s="64"/>
      <c r="K108" s="25"/>
      <c r="L108" s="25"/>
      <c r="M108" s="25"/>
    </row>
    <row r="109" spans="1:13" ht="39" hidden="1" customHeight="1" x14ac:dyDescent="0.25">
      <c r="A109" s="56"/>
      <c r="B109" s="57"/>
      <c r="C109" s="57"/>
      <c r="D109" s="566"/>
      <c r="E109" s="38"/>
      <c r="F109" s="38"/>
      <c r="G109" s="38"/>
      <c r="H109" s="39" t="e">
        <f>G109-#REF!</f>
        <v>#REF!</v>
      </c>
      <c r="I109" s="734" t="e">
        <f>H109/G109*100</f>
        <v>#REF!</v>
      </c>
      <c r="J109" s="41"/>
      <c r="K109" s="25"/>
      <c r="L109" s="25"/>
      <c r="M109" s="25"/>
    </row>
    <row r="110" spans="1:13" ht="39" hidden="1" customHeight="1" x14ac:dyDescent="0.25">
      <c r="A110" s="152"/>
      <c r="B110" s="153"/>
      <c r="C110" s="153"/>
      <c r="D110" s="567"/>
      <c r="E110" s="38"/>
      <c r="F110" s="38"/>
      <c r="G110" s="38"/>
      <c r="H110" s="39" t="e">
        <f>G110-#REF!</f>
        <v>#REF!</v>
      </c>
      <c r="I110" s="734" t="e">
        <f>H110/G110*100</f>
        <v>#REF!</v>
      </c>
      <c r="J110" s="41"/>
      <c r="K110" s="25"/>
      <c r="L110" s="25"/>
      <c r="M110" s="25"/>
    </row>
    <row r="111" spans="1:13" ht="24.75" hidden="1" customHeight="1" x14ac:dyDescent="0.25">
      <c r="A111" s="152"/>
      <c r="B111" s="153"/>
      <c r="C111" s="153"/>
      <c r="D111" s="446"/>
      <c r="E111" s="39"/>
      <c r="F111" s="37"/>
      <c r="G111" s="38"/>
      <c r="H111" s="39"/>
      <c r="I111" s="734" t="e">
        <f>H111/G111*100</f>
        <v>#DIV/0!</v>
      </c>
      <c r="J111" s="41"/>
      <c r="K111" s="25"/>
      <c r="L111" s="25"/>
      <c r="M111" s="25"/>
    </row>
    <row r="112" spans="1:13" ht="24.75" hidden="1" customHeight="1" x14ac:dyDescent="0.3">
      <c r="A112" s="148"/>
      <c r="B112" s="133"/>
      <c r="C112" s="134"/>
      <c r="D112" s="557" t="s">
        <v>16</v>
      </c>
      <c r="E112" s="46">
        <f>SUM(E113:E114)</f>
        <v>0</v>
      </c>
      <c r="F112" s="46">
        <f>SUM(F113:F115)</f>
        <v>0</v>
      </c>
      <c r="G112" s="46">
        <f>SUM(G113:G115)</f>
        <v>0</v>
      </c>
      <c r="H112" s="46" t="e">
        <f>SUM(H113:H115)</f>
        <v>#REF!</v>
      </c>
      <c r="I112" s="734" t="e">
        <f>H112/G112*100</f>
        <v>#REF!</v>
      </c>
      <c r="J112" s="47"/>
      <c r="K112" s="25"/>
      <c r="L112" s="25"/>
      <c r="M112" s="25"/>
    </row>
    <row r="113" spans="1:13" ht="20.25" hidden="1" customHeight="1" x14ac:dyDescent="0.3">
      <c r="A113" s="152"/>
      <c r="B113" s="153"/>
      <c r="C113" s="153"/>
      <c r="D113" s="568"/>
      <c r="E113" s="54"/>
      <c r="F113" s="54"/>
      <c r="G113" s="38"/>
      <c r="H113" s="39" t="e">
        <f>G113-#REF!</f>
        <v>#REF!</v>
      </c>
      <c r="I113" s="734" t="e">
        <f>H113/G113*100</f>
        <v>#REF!</v>
      </c>
      <c r="J113" s="41"/>
      <c r="K113" s="25"/>
      <c r="L113" s="25"/>
      <c r="M113" s="25"/>
    </row>
    <row r="114" spans="1:13" ht="20.25" hidden="1" customHeight="1" x14ac:dyDescent="0.25">
      <c r="A114" s="152"/>
      <c r="B114" s="153"/>
      <c r="C114" s="153"/>
      <c r="D114" s="446"/>
      <c r="E114" s="54"/>
      <c r="F114" s="54"/>
      <c r="G114" s="38"/>
      <c r="H114" s="39" t="e">
        <f>G114-#REF!</f>
        <v>#REF!</v>
      </c>
      <c r="I114" s="734" t="e">
        <f>H114/G114*100</f>
        <v>#REF!</v>
      </c>
      <c r="J114" s="41"/>
      <c r="K114" s="25"/>
      <c r="L114" s="25"/>
      <c r="M114" s="25"/>
    </row>
    <row r="115" spans="1:13" ht="20.25" hidden="1" customHeight="1" x14ac:dyDescent="0.25">
      <c r="A115" s="152"/>
      <c r="B115" s="153"/>
      <c r="C115" s="153"/>
      <c r="D115" s="446"/>
      <c r="E115" s="54"/>
      <c r="F115" s="54"/>
      <c r="G115" s="38"/>
      <c r="H115" s="39" t="e">
        <f>G115-#REF!</f>
        <v>#REF!</v>
      </c>
      <c r="I115" s="734" t="e">
        <f>H115/G115*100</f>
        <v>#REF!</v>
      </c>
      <c r="J115" s="41"/>
      <c r="K115" s="25"/>
      <c r="L115" s="25"/>
      <c r="M115" s="25"/>
    </row>
    <row r="116" spans="1:13" ht="20.25" hidden="1" customHeight="1" x14ac:dyDescent="0.25">
      <c r="A116" s="152"/>
      <c r="B116" s="153"/>
      <c r="C116" s="153"/>
      <c r="D116" s="569"/>
      <c r="E116" s="39"/>
      <c r="F116" s="37"/>
      <c r="G116" s="38"/>
      <c r="H116" s="39"/>
      <c r="I116" s="734" t="e">
        <f>H116/G116*100</f>
        <v>#DIV/0!</v>
      </c>
      <c r="J116" s="41"/>
      <c r="K116" s="25"/>
      <c r="L116" s="25"/>
      <c r="M116" s="25"/>
    </row>
    <row r="117" spans="1:13" ht="19.5" customHeight="1" x14ac:dyDescent="0.25">
      <c r="A117" s="86" t="s">
        <v>42</v>
      </c>
      <c r="B117" s="154" t="s">
        <v>43</v>
      </c>
      <c r="C117" s="97"/>
      <c r="D117" s="98"/>
      <c r="E117" s="155">
        <f t="shared" ref="E117:G117" si="26">E118+E126</f>
        <v>0</v>
      </c>
      <c r="F117" s="99">
        <f t="shared" si="26"/>
        <v>400000</v>
      </c>
      <c r="G117" s="155">
        <f t="shared" si="26"/>
        <v>400000</v>
      </c>
      <c r="H117" s="155">
        <f>H118</f>
        <v>180000</v>
      </c>
      <c r="I117" s="745">
        <f>H117/G117*100</f>
        <v>45</v>
      </c>
      <c r="J117" s="156"/>
      <c r="K117" s="25"/>
      <c r="L117" s="25"/>
      <c r="M117" s="25"/>
    </row>
    <row r="118" spans="1:13" ht="19.5" customHeight="1" x14ac:dyDescent="0.3">
      <c r="A118" s="148"/>
      <c r="B118" s="133"/>
      <c r="C118" s="133"/>
      <c r="D118" s="557" t="s">
        <v>14</v>
      </c>
      <c r="E118" s="157">
        <f t="shared" ref="E118:G118" si="27">SUM(E119:E124)</f>
        <v>0</v>
      </c>
      <c r="F118" s="46">
        <f t="shared" si="27"/>
        <v>400000</v>
      </c>
      <c r="G118" s="157">
        <f t="shared" si="27"/>
        <v>400000</v>
      </c>
      <c r="H118" s="157">
        <f>H119</f>
        <v>180000</v>
      </c>
      <c r="I118" s="744">
        <f>H118/G118*100</f>
        <v>45</v>
      </c>
      <c r="J118" s="158"/>
      <c r="K118" s="25"/>
      <c r="L118" s="25"/>
      <c r="M118" s="25"/>
    </row>
    <row r="119" spans="1:13" ht="80.25" customHeight="1" x14ac:dyDescent="0.25">
      <c r="A119" s="84"/>
      <c r="B119" s="159"/>
      <c r="C119" s="160"/>
      <c r="D119" s="592" t="s">
        <v>226</v>
      </c>
      <c r="E119" s="54"/>
      <c r="F119" s="54">
        <f>400000</f>
        <v>400000</v>
      </c>
      <c r="G119" s="38">
        <f>400000</f>
        <v>400000</v>
      </c>
      <c r="H119" s="39">
        <f>180000</f>
        <v>180000</v>
      </c>
      <c r="I119" s="734">
        <f>H119/G119*100</f>
        <v>45</v>
      </c>
      <c r="J119" s="89"/>
      <c r="K119" s="25"/>
      <c r="L119" s="25"/>
      <c r="M119" s="25"/>
    </row>
    <row r="120" spans="1:13" ht="34.5" hidden="1" customHeight="1" x14ac:dyDescent="0.25">
      <c r="A120" s="84"/>
      <c r="B120" s="159"/>
      <c r="C120" s="160"/>
      <c r="D120" s="540"/>
      <c r="E120" s="54"/>
      <c r="F120" s="54"/>
      <c r="G120" s="38"/>
      <c r="H120" s="39" t="e">
        <f>G120-#REF!</f>
        <v>#REF!</v>
      </c>
      <c r="I120" s="734" t="e">
        <f>H120/G120*100</f>
        <v>#REF!</v>
      </c>
      <c r="J120" s="89"/>
      <c r="K120" s="25"/>
      <c r="L120" s="25"/>
      <c r="M120" s="25"/>
    </row>
    <row r="121" spans="1:13" ht="19.5" hidden="1" customHeight="1" x14ac:dyDescent="0.25">
      <c r="A121" s="84"/>
      <c r="B121" s="161"/>
      <c r="C121" s="161"/>
      <c r="D121" s="540"/>
      <c r="E121" s="54"/>
      <c r="F121" s="54"/>
      <c r="G121" s="38"/>
      <c r="H121" s="39" t="e">
        <f>G121-#REF!</f>
        <v>#REF!</v>
      </c>
      <c r="I121" s="734" t="e">
        <f>H121/G121*100</f>
        <v>#REF!</v>
      </c>
      <c r="J121" s="89"/>
      <c r="K121" s="25"/>
      <c r="L121" s="25"/>
      <c r="M121" s="25"/>
    </row>
    <row r="122" spans="1:13" ht="19.5" hidden="1" customHeight="1" x14ac:dyDescent="0.25">
      <c r="A122" s="84"/>
      <c r="B122" s="145"/>
      <c r="C122" s="145"/>
      <c r="D122" s="570"/>
      <c r="E122" s="54"/>
      <c r="F122" s="54"/>
      <c r="G122" s="38"/>
      <c r="H122" s="39" t="e">
        <f>G122-#REF!</f>
        <v>#REF!</v>
      </c>
      <c r="I122" s="734" t="e">
        <f>H122/G122*100</f>
        <v>#REF!</v>
      </c>
      <c r="J122" s="89"/>
      <c r="K122" s="25"/>
      <c r="L122" s="25"/>
      <c r="M122" s="25"/>
    </row>
    <row r="123" spans="1:13" ht="19.5" hidden="1" customHeight="1" x14ac:dyDescent="0.25">
      <c r="A123" s="84"/>
      <c r="B123" s="145"/>
      <c r="C123" s="145"/>
      <c r="D123" s="540"/>
      <c r="E123" s="54"/>
      <c r="F123" s="54"/>
      <c r="G123" s="38"/>
      <c r="H123" s="39" t="e">
        <f>G123-#REF!</f>
        <v>#REF!</v>
      </c>
      <c r="I123" s="734" t="e">
        <f>H123/G123*100</f>
        <v>#REF!</v>
      </c>
      <c r="J123" s="89"/>
      <c r="K123" s="25"/>
      <c r="L123" s="25"/>
      <c r="M123" s="25"/>
    </row>
    <row r="124" spans="1:13" ht="19.5" hidden="1" customHeight="1" x14ac:dyDescent="0.25">
      <c r="A124" s="84"/>
      <c r="B124" s="145"/>
      <c r="C124" s="145"/>
      <c r="D124" s="540"/>
      <c r="E124" s="54"/>
      <c r="F124" s="54"/>
      <c r="G124" s="38"/>
      <c r="H124" s="39" t="e">
        <f>G124-#REF!</f>
        <v>#REF!</v>
      </c>
      <c r="I124" s="734" t="e">
        <f>H124/G124*100</f>
        <v>#REF!</v>
      </c>
      <c r="J124" s="89"/>
      <c r="K124" s="25"/>
      <c r="L124" s="25"/>
      <c r="M124" s="25"/>
    </row>
    <row r="125" spans="1:13" ht="17.25" hidden="1" customHeight="1" x14ac:dyDescent="0.25">
      <c r="A125" s="84"/>
      <c r="B125" s="145"/>
      <c r="C125" s="145"/>
      <c r="D125" s="446"/>
      <c r="E125" s="83"/>
      <c r="F125" s="37"/>
      <c r="G125" s="38"/>
      <c r="H125" s="39" t="e">
        <f>G125-#REF!</f>
        <v>#REF!</v>
      </c>
      <c r="I125" s="734" t="e">
        <f>H125/G125*100</f>
        <v>#REF!</v>
      </c>
      <c r="J125" s="89"/>
      <c r="K125" s="25"/>
      <c r="L125" s="25"/>
      <c r="M125" s="25"/>
    </row>
    <row r="126" spans="1:13" ht="25.5" hidden="1" customHeight="1" x14ac:dyDescent="0.3">
      <c r="A126" s="148"/>
      <c r="B126" s="133"/>
      <c r="C126" s="133"/>
      <c r="D126" s="557" t="s">
        <v>16</v>
      </c>
      <c r="E126" s="157">
        <f t="shared" ref="E126:H126" si="28">SUM(E127:E136)</f>
        <v>0</v>
      </c>
      <c r="F126" s="46">
        <f t="shared" si="28"/>
        <v>0</v>
      </c>
      <c r="G126" s="46">
        <f t="shared" si="28"/>
        <v>0</v>
      </c>
      <c r="H126" s="46" t="e">
        <f t="shared" si="28"/>
        <v>#REF!</v>
      </c>
      <c r="I126" s="734" t="e">
        <f>H126/G126*100</f>
        <v>#REF!</v>
      </c>
      <c r="J126" s="47"/>
      <c r="K126" s="25"/>
      <c r="L126" s="25"/>
      <c r="M126" s="25"/>
    </row>
    <row r="127" spans="1:13" ht="20.25" hidden="1" customHeight="1" x14ac:dyDescent="0.25">
      <c r="A127" s="84"/>
      <c r="B127" s="145"/>
      <c r="C127" s="145"/>
      <c r="D127" s="540"/>
      <c r="E127" s="54"/>
      <c r="F127" s="54"/>
      <c r="G127" s="38"/>
      <c r="H127" s="39" t="e">
        <f>G127-#REF!</f>
        <v>#REF!</v>
      </c>
      <c r="I127" s="734" t="e">
        <f>H127/G127*100</f>
        <v>#REF!</v>
      </c>
      <c r="J127" s="89"/>
      <c r="K127" s="25"/>
      <c r="L127" s="25"/>
      <c r="M127" s="25"/>
    </row>
    <row r="128" spans="1:13" ht="20.25" hidden="1" customHeight="1" x14ac:dyDescent="0.25">
      <c r="A128" s="84"/>
      <c r="B128" s="145"/>
      <c r="C128" s="145"/>
      <c r="D128" s="540"/>
      <c r="E128" s="54"/>
      <c r="F128" s="54"/>
      <c r="G128" s="38"/>
      <c r="H128" s="39" t="e">
        <f>G128-#REF!</f>
        <v>#REF!</v>
      </c>
      <c r="I128" s="734" t="e">
        <f>H128/G128*100</f>
        <v>#REF!</v>
      </c>
      <c r="J128" s="89"/>
      <c r="K128" s="25"/>
      <c r="L128" s="25"/>
      <c r="M128" s="25"/>
    </row>
    <row r="129" spans="1:13" ht="20.25" hidden="1" customHeight="1" x14ac:dyDescent="0.25">
      <c r="A129" s="84"/>
      <c r="B129" s="145"/>
      <c r="C129" s="145"/>
      <c r="D129" s="446"/>
      <c r="E129" s="54"/>
      <c r="F129" s="54"/>
      <c r="G129" s="38"/>
      <c r="H129" s="39" t="e">
        <f>G129-#REF!</f>
        <v>#REF!</v>
      </c>
      <c r="I129" s="734" t="e">
        <f>H129/G129*100</f>
        <v>#REF!</v>
      </c>
      <c r="J129" s="89"/>
      <c r="K129" s="25"/>
      <c r="L129" s="25"/>
      <c r="M129" s="25"/>
    </row>
    <row r="130" spans="1:13" ht="20.25" hidden="1" customHeight="1" x14ac:dyDescent="0.25">
      <c r="A130" s="84"/>
      <c r="B130" s="145"/>
      <c r="C130" s="145"/>
      <c r="D130" s="564"/>
      <c r="E130" s="147"/>
      <c r="F130" s="37"/>
      <c r="G130" s="38"/>
      <c r="H130" s="39" t="e">
        <f>G130-#REF!</f>
        <v>#REF!</v>
      </c>
      <c r="I130" s="734" t="e">
        <f>H130/G130*100</f>
        <v>#REF!</v>
      </c>
      <c r="J130" s="89"/>
      <c r="K130" s="25"/>
      <c r="L130" s="25"/>
      <c r="M130" s="25"/>
    </row>
    <row r="131" spans="1:13" ht="32.25" hidden="1" customHeight="1" x14ac:dyDescent="0.3">
      <c r="A131" s="148"/>
      <c r="B131" s="133"/>
      <c r="C131" s="133"/>
      <c r="D131" s="557" t="s">
        <v>16</v>
      </c>
      <c r="E131" s="46">
        <f t="shared" ref="E131:H131" si="29">E132+E133</f>
        <v>0</v>
      </c>
      <c r="F131" s="46">
        <f t="shared" si="29"/>
        <v>0</v>
      </c>
      <c r="G131" s="46">
        <f t="shared" si="29"/>
        <v>0</v>
      </c>
      <c r="H131" s="46" t="e">
        <f t="shared" si="29"/>
        <v>#REF!</v>
      </c>
      <c r="I131" s="734" t="e">
        <f>H131/G131*100</f>
        <v>#REF!</v>
      </c>
      <c r="J131" s="47"/>
      <c r="K131" s="25"/>
      <c r="L131" s="25"/>
      <c r="M131" s="25"/>
    </row>
    <row r="132" spans="1:13" ht="44.25" hidden="1" customHeight="1" x14ac:dyDescent="0.25">
      <c r="A132" s="84"/>
      <c r="B132" s="162"/>
      <c r="C132" s="163"/>
      <c r="D132" s="446"/>
      <c r="E132" s="147"/>
      <c r="F132" s="37"/>
      <c r="G132" s="38"/>
      <c r="H132" s="39" t="e">
        <f>G132-#REF!</f>
        <v>#REF!</v>
      </c>
      <c r="I132" s="734" t="e">
        <f>H132/G132*100</f>
        <v>#REF!</v>
      </c>
      <c r="J132" s="89"/>
      <c r="K132" s="25"/>
      <c r="L132" s="25"/>
      <c r="M132" s="25"/>
    </row>
    <row r="133" spans="1:13" ht="44.25" hidden="1" customHeight="1" x14ac:dyDescent="0.25">
      <c r="A133" s="84"/>
      <c r="B133" s="162"/>
      <c r="C133" s="163"/>
      <c r="D133" s="446"/>
      <c r="E133" s="147"/>
      <c r="F133" s="37"/>
      <c r="G133" s="38"/>
      <c r="H133" s="39" t="e">
        <f>G133-#REF!</f>
        <v>#REF!</v>
      </c>
      <c r="I133" s="734" t="e">
        <f>H133/G133*100</f>
        <v>#REF!</v>
      </c>
      <c r="J133" s="89"/>
      <c r="K133" s="25"/>
      <c r="L133" s="25"/>
      <c r="M133" s="25"/>
    </row>
    <row r="134" spans="1:13" ht="21" hidden="1" customHeight="1" x14ac:dyDescent="0.25">
      <c r="A134" s="84"/>
      <c r="B134" s="164"/>
      <c r="C134" s="161"/>
      <c r="D134" s="571"/>
      <c r="E134" s="40"/>
      <c r="F134" s="38"/>
      <c r="G134" s="38"/>
      <c r="H134" s="39"/>
      <c r="I134" s="734" t="e">
        <f>H134/G134*100</f>
        <v>#DIV/0!</v>
      </c>
      <c r="J134" s="89"/>
      <c r="K134" s="25"/>
      <c r="L134" s="25"/>
      <c r="M134" s="25"/>
    </row>
    <row r="135" spans="1:13" ht="38.25" hidden="1" customHeight="1" x14ac:dyDescent="0.25">
      <c r="A135" s="26" t="s">
        <v>44</v>
      </c>
      <c r="B135" s="150">
        <v>7330</v>
      </c>
      <c r="C135" s="165"/>
      <c r="D135" s="98"/>
      <c r="E135" s="99">
        <f>E136</f>
        <v>0</v>
      </c>
      <c r="F135" s="99">
        <f>F136</f>
        <v>0</v>
      </c>
      <c r="G135" s="99">
        <f>G136</f>
        <v>0</v>
      </c>
      <c r="H135" s="99" t="e">
        <f>G135-#REF!</f>
        <v>#REF!</v>
      </c>
      <c r="I135" s="734" t="e">
        <f>H135/G135*100</f>
        <v>#REF!</v>
      </c>
      <c r="J135" s="100"/>
      <c r="K135" s="25"/>
      <c r="L135" s="25"/>
      <c r="M135" s="25"/>
    </row>
    <row r="136" spans="1:13" ht="24.75" hidden="1" customHeight="1" x14ac:dyDescent="0.3">
      <c r="A136" s="166"/>
      <c r="B136" s="167"/>
      <c r="C136" s="168"/>
      <c r="D136" s="557" t="s">
        <v>14</v>
      </c>
      <c r="E136" s="46">
        <f t="shared" ref="E136:H136" si="30">SUM(E137)</f>
        <v>0</v>
      </c>
      <c r="F136" s="46">
        <f t="shared" si="30"/>
        <v>0</v>
      </c>
      <c r="G136" s="46">
        <f t="shared" si="30"/>
        <v>0</v>
      </c>
      <c r="H136" s="46" t="e">
        <f t="shared" si="30"/>
        <v>#REF!</v>
      </c>
      <c r="I136" s="734" t="e">
        <f>H136/G136*100</f>
        <v>#REF!</v>
      </c>
      <c r="J136" s="47"/>
      <c r="K136" s="25"/>
      <c r="L136" s="25"/>
      <c r="M136" s="25"/>
    </row>
    <row r="137" spans="1:13" ht="33.75" hidden="1" customHeight="1" x14ac:dyDescent="0.25">
      <c r="A137" s="84"/>
      <c r="B137" s="164"/>
      <c r="C137" s="161"/>
      <c r="D137" s="446"/>
      <c r="E137" s="40"/>
      <c r="F137" s="38"/>
      <c r="G137" s="38"/>
      <c r="H137" s="39" t="e">
        <f>G137-#REF!</f>
        <v>#REF!</v>
      </c>
      <c r="I137" s="734" t="e">
        <f>H137/G137*100</f>
        <v>#REF!</v>
      </c>
      <c r="J137" s="89"/>
      <c r="K137" s="25"/>
      <c r="L137" s="25"/>
      <c r="M137" s="25"/>
    </row>
    <row r="138" spans="1:13" ht="18" hidden="1" customHeight="1" x14ac:dyDescent="0.25">
      <c r="A138" s="84"/>
      <c r="B138" s="164"/>
      <c r="C138" s="161"/>
      <c r="D138" s="571"/>
      <c r="E138" s="40"/>
      <c r="F138" s="38"/>
      <c r="G138" s="38"/>
      <c r="H138" s="39"/>
      <c r="I138" s="734" t="e">
        <f>H138/G138*100</f>
        <v>#DIV/0!</v>
      </c>
      <c r="J138" s="89"/>
      <c r="K138" s="25"/>
      <c r="L138" s="25"/>
      <c r="M138" s="25"/>
    </row>
    <row r="139" spans="1:13" ht="27.75" hidden="1" customHeight="1" x14ac:dyDescent="0.25">
      <c r="A139" s="26" t="s">
        <v>45</v>
      </c>
      <c r="B139" s="150">
        <v>7340</v>
      </c>
      <c r="C139" s="165"/>
      <c r="D139" s="98"/>
      <c r="E139" s="70">
        <f t="shared" ref="E139:H139" si="31">E140+E142</f>
        <v>0</v>
      </c>
      <c r="F139" s="99">
        <f t="shared" si="31"/>
        <v>0</v>
      </c>
      <c r="G139" s="99">
        <f t="shared" si="31"/>
        <v>0</v>
      </c>
      <c r="H139" s="99" t="e">
        <f t="shared" si="31"/>
        <v>#REF!</v>
      </c>
      <c r="I139" s="734" t="e">
        <f>H139/G139*100</f>
        <v>#REF!</v>
      </c>
      <c r="J139" s="100"/>
      <c r="K139" s="25"/>
      <c r="L139" s="25"/>
      <c r="M139" s="25"/>
    </row>
    <row r="140" spans="1:13" ht="27.75" hidden="1" customHeight="1" x14ac:dyDescent="0.3">
      <c r="A140" s="166"/>
      <c r="B140" s="167"/>
      <c r="C140" s="168"/>
      <c r="D140" s="557" t="s">
        <v>16</v>
      </c>
      <c r="E140" s="46">
        <f>E141</f>
        <v>0</v>
      </c>
      <c r="F140" s="46">
        <f>F141</f>
        <v>0</v>
      </c>
      <c r="G140" s="46">
        <f>G141</f>
        <v>0</v>
      </c>
      <c r="H140" s="46" t="e">
        <f>SUM(H141)</f>
        <v>#REF!</v>
      </c>
      <c r="I140" s="734" t="e">
        <f>H140/G140*100</f>
        <v>#REF!</v>
      </c>
      <c r="J140" s="47"/>
      <c r="K140" s="25"/>
      <c r="L140" s="25"/>
      <c r="M140" s="25"/>
    </row>
    <row r="141" spans="1:13" ht="39.75" hidden="1" customHeight="1" x14ac:dyDescent="0.25">
      <c r="A141" s="84"/>
      <c r="B141" s="169"/>
      <c r="C141" s="170"/>
      <c r="D141" s="560"/>
      <c r="E141" s="40"/>
      <c r="F141" s="38"/>
      <c r="G141" s="38"/>
      <c r="H141" s="39" t="e">
        <f>G141-#REF!</f>
        <v>#REF!</v>
      </c>
      <c r="I141" s="734" t="e">
        <f>H141/G141*100</f>
        <v>#REF!</v>
      </c>
      <c r="J141" s="89"/>
      <c r="K141" s="25"/>
      <c r="L141" s="25"/>
      <c r="M141" s="25"/>
    </row>
    <row r="142" spans="1:13" ht="21.75" hidden="1" customHeight="1" x14ac:dyDescent="0.3">
      <c r="A142" s="148"/>
      <c r="B142" s="171"/>
      <c r="C142" s="172"/>
      <c r="D142" s="557" t="s">
        <v>46</v>
      </c>
      <c r="E142" s="63">
        <f t="shared" ref="E142:H142" si="32">SUM(E143:E149)</f>
        <v>0</v>
      </c>
      <c r="F142" s="63">
        <f t="shared" si="32"/>
        <v>0</v>
      </c>
      <c r="G142" s="63">
        <f t="shared" si="32"/>
        <v>0</v>
      </c>
      <c r="H142" s="63" t="e">
        <f t="shared" si="32"/>
        <v>#REF!</v>
      </c>
      <c r="I142" s="734" t="e">
        <f>H142/G142*100</f>
        <v>#REF!</v>
      </c>
      <c r="J142" s="64"/>
      <c r="K142" s="25"/>
      <c r="L142" s="25"/>
      <c r="M142" s="25"/>
    </row>
    <row r="143" spans="1:13" hidden="1" x14ac:dyDescent="0.25">
      <c r="A143" s="84"/>
      <c r="B143" s="173"/>
      <c r="C143" s="174"/>
      <c r="D143" s="446"/>
      <c r="E143" s="54"/>
      <c r="F143" s="54"/>
      <c r="G143" s="38"/>
      <c r="H143" s="39" t="e">
        <f>G143-#REF!</f>
        <v>#REF!</v>
      </c>
      <c r="I143" s="734" t="e">
        <f>H143/G143*100</f>
        <v>#REF!</v>
      </c>
      <c r="J143" s="89"/>
      <c r="K143" s="25"/>
      <c r="L143" s="25"/>
      <c r="M143" s="25"/>
    </row>
    <row r="144" spans="1:13" hidden="1" x14ac:dyDescent="0.25">
      <c r="A144" s="84"/>
      <c r="B144" s="173"/>
      <c r="C144" s="174"/>
      <c r="D144" s="446"/>
      <c r="E144" s="54"/>
      <c r="F144" s="54"/>
      <c r="G144" s="38"/>
      <c r="H144" s="39" t="e">
        <f>G144-#REF!</f>
        <v>#REF!</v>
      </c>
      <c r="I144" s="734" t="e">
        <f>H144/G144*100</f>
        <v>#REF!</v>
      </c>
      <c r="J144" s="89"/>
      <c r="K144" s="25"/>
      <c r="L144" s="25"/>
      <c r="M144" s="25"/>
    </row>
    <row r="145" spans="1:16" hidden="1" x14ac:dyDescent="0.25">
      <c r="A145" s="84"/>
      <c r="B145" s="173"/>
      <c r="C145" s="174"/>
      <c r="D145" s="446"/>
      <c r="E145" s="54"/>
      <c r="F145" s="54"/>
      <c r="G145" s="38"/>
      <c r="H145" s="39" t="e">
        <f>G145-#REF!</f>
        <v>#REF!</v>
      </c>
      <c r="I145" s="734" t="e">
        <f>H145/G145*100</f>
        <v>#REF!</v>
      </c>
      <c r="J145" s="89"/>
      <c r="K145" s="25"/>
      <c r="L145" s="25"/>
      <c r="M145" s="25"/>
    </row>
    <row r="146" spans="1:16" ht="23.25" hidden="1" customHeight="1" x14ac:dyDescent="0.25">
      <c r="A146" s="84"/>
      <c r="B146" s="173"/>
      <c r="C146" s="174"/>
      <c r="D146" s="446"/>
      <c r="E146" s="54"/>
      <c r="F146" s="54"/>
      <c r="G146" s="38"/>
      <c r="H146" s="39" t="e">
        <f>G146-#REF!</f>
        <v>#REF!</v>
      </c>
      <c r="I146" s="734" t="e">
        <f>H146/G146*100</f>
        <v>#REF!</v>
      </c>
      <c r="J146" s="89"/>
      <c r="K146" s="25"/>
      <c r="L146" s="25"/>
      <c r="M146" s="25"/>
    </row>
    <row r="147" spans="1:16" ht="23.25" hidden="1" customHeight="1" x14ac:dyDescent="0.25">
      <c r="A147" s="84"/>
      <c r="B147" s="173"/>
      <c r="C147" s="174"/>
      <c r="D147" s="446"/>
      <c r="E147" s="54"/>
      <c r="F147" s="54"/>
      <c r="G147" s="38"/>
      <c r="H147" s="39" t="e">
        <f>G147-#REF!</f>
        <v>#REF!</v>
      </c>
      <c r="I147" s="734" t="e">
        <f>H147/G147*100</f>
        <v>#REF!</v>
      </c>
      <c r="J147" s="89"/>
      <c r="K147" s="25"/>
      <c r="L147" s="25"/>
      <c r="M147" s="25"/>
    </row>
    <row r="148" spans="1:16" ht="23.25" hidden="1" customHeight="1" x14ac:dyDescent="0.25">
      <c r="A148" s="84"/>
      <c r="B148" s="173"/>
      <c r="C148" s="174"/>
      <c r="D148" s="446"/>
      <c r="E148" s="54"/>
      <c r="F148" s="54"/>
      <c r="G148" s="38"/>
      <c r="H148" s="39" t="e">
        <f>G148-#REF!</f>
        <v>#REF!</v>
      </c>
      <c r="I148" s="734" t="e">
        <f>H148/G148*100</f>
        <v>#REF!</v>
      </c>
      <c r="J148" s="89"/>
      <c r="K148" s="25"/>
      <c r="L148" s="25"/>
      <c r="M148" s="25"/>
    </row>
    <row r="149" spans="1:16" ht="19.5" hidden="1" customHeight="1" x14ac:dyDescent="0.25">
      <c r="A149" s="84"/>
      <c r="B149" s="173"/>
      <c r="C149" s="174"/>
      <c r="D149" s="571"/>
      <c r="E149" s="40"/>
      <c r="F149" s="38"/>
      <c r="G149" s="38"/>
      <c r="H149" s="39" t="e">
        <f>G149-#REF!</f>
        <v>#REF!</v>
      </c>
      <c r="I149" s="734" t="e">
        <f>H149/G149*100</f>
        <v>#REF!</v>
      </c>
      <c r="J149" s="89"/>
      <c r="K149" s="25"/>
      <c r="L149" s="25"/>
      <c r="M149" s="25"/>
    </row>
    <row r="150" spans="1:16" ht="12" customHeight="1" x14ac:dyDescent="0.25">
      <c r="A150" s="84"/>
      <c r="B150" s="173"/>
      <c r="C150" s="174"/>
      <c r="D150" s="571"/>
      <c r="E150" s="40"/>
      <c r="F150" s="38"/>
      <c r="G150" s="38"/>
      <c r="H150" s="39"/>
      <c r="I150" s="734"/>
      <c r="J150" s="89"/>
      <c r="K150" s="25"/>
      <c r="L150" s="25"/>
      <c r="M150" s="25"/>
    </row>
    <row r="151" spans="1:16" ht="18.75" customHeight="1" x14ac:dyDescent="0.3">
      <c r="A151" s="26" t="s">
        <v>47</v>
      </c>
      <c r="B151" s="175">
        <v>7350</v>
      </c>
      <c r="C151" s="165"/>
      <c r="D151" s="558"/>
      <c r="E151" s="122">
        <f t="shared" ref="E151:H152" si="33">E152</f>
        <v>400000</v>
      </c>
      <c r="F151" s="122">
        <f t="shared" si="33"/>
        <v>2400000</v>
      </c>
      <c r="G151" s="122">
        <f t="shared" si="33"/>
        <v>2400000</v>
      </c>
      <c r="H151" s="122">
        <f t="shared" si="33"/>
        <v>0</v>
      </c>
      <c r="I151" s="745">
        <f>H151/G151*100</f>
        <v>0</v>
      </c>
      <c r="J151" s="123"/>
      <c r="K151" s="25"/>
      <c r="L151" s="25"/>
      <c r="M151" s="25"/>
    </row>
    <row r="152" spans="1:16" ht="18.75" customHeight="1" x14ac:dyDescent="0.3">
      <c r="A152" s="31"/>
      <c r="B152" s="176"/>
      <c r="C152" s="168"/>
      <c r="D152" s="557" t="s">
        <v>48</v>
      </c>
      <c r="E152" s="48">
        <f t="shared" si="33"/>
        <v>400000</v>
      </c>
      <c r="F152" s="48">
        <f t="shared" si="33"/>
        <v>2400000</v>
      </c>
      <c r="G152" s="48">
        <f t="shared" si="33"/>
        <v>2400000</v>
      </c>
      <c r="H152" s="48">
        <f t="shared" si="33"/>
        <v>0</v>
      </c>
      <c r="I152" s="744">
        <f>H152/G152*100</f>
        <v>0</v>
      </c>
      <c r="J152" s="49"/>
      <c r="K152" s="25"/>
      <c r="L152" s="25"/>
      <c r="M152" s="25"/>
    </row>
    <row r="153" spans="1:16" s="141" customFormat="1" ht="57.75" customHeight="1" x14ac:dyDescent="0.25">
      <c r="A153" s="84"/>
      <c r="B153" s="177"/>
      <c r="C153" s="178"/>
      <c r="D153" s="616" t="s">
        <v>49</v>
      </c>
      <c r="E153" s="38">
        <f>400000</f>
        <v>400000</v>
      </c>
      <c r="F153" s="38">
        <f>400000+2000000</f>
        <v>2400000</v>
      </c>
      <c r="G153" s="38">
        <f>1090000+1310000</f>
        <v>2400000</v>
      </c>
      <c r="H153" s="38"/>
      <c r="I153" s="734">
        <f>H153/G153*100</f>
        <v>0</v>
      </c>
      <c r="J153" s="82"/>
      <c r="K153" s="139"/>
      <c r="L153" s="139"/>
      <c r="M153" s="139"/>
      <c r="N153" s="140"/>
      <c r="O153" s="140"/>
      <c r="P153" s="140"/>
    </row>
    <row r="154" spans="1:16" ht="24" hidden="1" customHeight="1" x14ac:dyDescent="0.25">
      <c r="A154" s="84"/>
      <c r="B154" s="77"/>
      <c r="C154" s="117"/>
      <c r="D154" s="572"/>
      <c r="E154" s="54"/>
      <c r="F154" s="54"/>
      <c r="G154" s="38"/>
      <c r="H154" s="39" t="e">
        <f>G154-#REF!</f>
        <v>#REF!</v>
      </c>
      <c r="I154" s="734" t="e">
        <f>H154/G154*100</f>
        <v>#REF!</v>
      </c>
      <c r="J154" s="89"/>
      <c r="K154" s="25"/>
      <c r="L154" s="25"/>
      <c r="M154" s="25"/>
    </row>
    <row r="155" spans="1:16" ht="24" hidden="1" customHeight="1" x14ac:dyDescent="0.25">
      <c r="A155" s="84"/>
      <c r="B155" s="77"/>
      <c r="C155" s="117"/>
      <c r="D155" s="572"/>
      <c r="E155" s="54"/>
      <c r="F155" s="54"/>
      <c r="G155" s="38"/>
      <c r="H155" s="39" t="e">
        <f>G155-#REF!</f>
        <v>#REF!</v>
      </c>
      <c r="I155" s="734" t="e">
        <f>H155/G155*100</f>
        <v>#REF!</v>
      </c>
      <c r="J155" s="89"/>
      <c r="K155" s="25"/>
      <c r="L155" s="25"/>
      <c r="M155" s="25"/>
    </row>
    <row r="156" spans="1:16" ht="12" hidden="1" customHeight="1" x14ac:dyDescent="0.25">
      <c r="A156" s="84"/>
      <c r="B156" s="77"/>
      <c r="C156" s="117"/>
      <c r="D156" s="573"/>
      <c r="E156" s="38"/>
      <c r="F156" s="38"/>
      <c r="G156" s="38"/>
      <c r="H156" s="39" t="e">
        <f>G156-#REF!</f>
        <v>#REF!</v>
      </c>
      <c r="I156" s="734" t="e">
        <f>H156/G156*100</f>
        <v>#REF!</v>
      </c>
      <c r="J156" s="89"/>
      <c r="K156" s="25"/>
      <c r="L156" s="25"/>
      <c r="M156" s="25"/>
    </row>
    <row r="157" spans="1:16" ht="23.25" hidden="1" customHeight="1" x14ac:dyDescent="0.25">
      <c r="A157" s="26" t="s">
        <v>50</v>
      </c>
      <c r="B157" s="175">
        <v>7370</v>
      </c>
      <c r="C157" s="97"/>
      <c r="D157" s="565"/>
      <c r="E157" s="70">
        <f t="shared" ref="E157:H157" si="34">E158+E162</f>
        <v>0</v>
      </c>
      <c r="F157" s="70">
        <f t="shared" si="34"/>
        <v>0</v>
      </c>
      <c r="G157" s="70">
        <f t="shared" si="34"/>
        <v>0</v>
      </c>
      <c r="H157" s="70" t="e">
        <f t="shared" si="34"/>
        <v>#REF!</v>
      </c>
      <c r="I157" s="734" t="e">
        <f>H157/G157*100</f>
        <v>#REF!</v>
      </c>
      <c r="J157" s="47"/>
      <c r="K157" s="25"/>
      <c r="L157" s="25"/>
      <c r="M157" s="25"/>
    </row>
    <row r="158" spans="1:16" ht="23.25" hidden="1" customHeight="1" x14ac:dyDescent="0.25">
      <c r="A158" s="148"/>
      <c r="B158" s="32"/>
      <c r="C158" s="133"/>
      <c r="D158" s="542" t="s">
        <v>14</v>
      </c>
      <c r="E158" s="135">
        <f t="shared" ref="E158:H158" si="35">SUM(E159:E160)</f>
        <v>0</v>
      </c>
      <c r="F158" s="135">
        <f t="shared" si="35"/>
        <v>0</v>
      </c>
      <c r="G158" s="135">
        <f t="shared" si="35"/>
        <v>0</v>
      </c>
      <c r="H158" s="135" t="e">
        <f t="shared" si="35"/>
        <v>#REF!</v>
      </c>
      <c r="I158" s="734" t="e">
        <f>H158/G158*100</f>
        <v>#REF!</v>
      </c>
      <c r="J158" s="82"/>
      <c r="K158" s="25"/>
      <c r="L158" s="25"/>
      <c r="M158" s="25"/>
    </row>
    <row r="159" spans="1:16" ht="36.75" hidden="1" customHeight="1" x14ac:dyDescent="0.25">
      <c r="A159" s="76"/>
      <c r="B159" s="179"/>
      <c r="C159" s="117"/>
      <c r="D159" s="573"/>
      <c r="E159" s="37"/>
      <c r="F159" s="37"/>
      <c r="G159" s="38"/>
      <c r="H159" s="39" t="e">
        <f>G159-#REF!</f>
        <v>#REF!</v>
      </c>
      <c r="I159" s="734" t="e">
        <f>H159/G159*100</f>
        <v>#REF!</v>
      </c>
      <c r="J159" s="89"/>
      <c r="K159" s="25"/>
      <c r="L159" s="25"/>
      <c r="M159" s="25"/>
    </row>
    <row r="160" spans="1:16" ht="38.25" hidden="1" customHeight="1" x14ac:dyDescent="0.25">
      <c r="A160" s="76"/>
      <c r="B160" s="179"/>
      <c r="C160" s="117"/>
      <c r="D160" s="566"/>
      <c r="E160" s="54"/>
      <c r="F160" s="54"/>
      <c r="G160" s="38"/>
      <c r="H160" s="39" t="e">
        <f>G160-#REF!</f>
        <v>#REF!</v>
      </c>
      <c r="I160" s="734" t="e">
        <f>H160/G160*100</f>
        <v>#REF!</v>
      </c>
      <c r="J160" s="89"/>
      <c r="K160" s="25"/>
      <c r="L160" s="25"/>
      <c r="M160" s="25"/>
    </row>
    <row r="161" spans="1:16" ht="23.25" hidden="1" customHeight="1" x14ac:dyDescent="0.25">
      <c r="A161" s="76"/>
      <c r="B161" s="179"/>
      <c r="C161" s="117"/>
      <c r="D161" s="545"/>
      <c r="E161" s="38"/>
      <c r="F161" s="78"/>
      <c r="G161" s="78"/>
      <c r="H161" s="180"/>
      <c r="I161" s="734" t="e">
        <f>H161/G161*100</f>
        <v>#DIV/0!</v>
      </c>
      <c r="J161" s="64"/>
      <c r="K161" s="25"/>
      <c r="L161" s="25"/>
      <c r="M161" s="25"/>
    </row>
    <row r="162" spans="1:16" ht="28.5" hidden="1" customHeight="1" x14ac:dyDescent="0.25">
      <c r="A162" s="148"/>
      <c r="B162" s="32"/>
      <c r="C162" s="133"/>
      <c r="D162" s="542" t="s">
        <v>16</v>
      </c>
      <c r="E162" s="46">
        <f t="shared" ref="E162:H162" si="36">SUM(E163:E164)</f>
        <v>0</v>
      </c>
      <c r="F162" s="46">
        <f t="shared" si="36"/>
        <v>0</v>
      </c>
      <c r="G162" s="46">
        <f t="shared" si="36"/>
        <v>0</v>
      </c>
      <c r="H162" s="46" t="e">
        <f t="shared" si="36"/>
        <v>#REF!</v>
      </c>
      <c r="I162" s="734" t="e">
        <f>H162/G162*100</f>
        <v>#REF!</v>
      </c>
      <c r="J162" s="47"/>
      <c r="K162" s="25"/>
      <c r="L162" s="25"/>
      <c r="M162" s="25"/>
    </row>
    <row r="163" spans="1:16" ht="28.5" hidden="1" customHeight="1" x14ac:dyDescent="0.25">
      <c r="A163" s="84"/>
      <c r="B163" s="77"/>
      <c r="C163" s="117"/>
      <c r="D163" s="545"/>
      <c r="E163" s="37"/>
      <c r="F163" s="37"/>
      <c r="G163" s="38"/>
      <c r="H163" s="39" t="e">
        <f>G163-#REF!</f>
        <v>#REF!</v>
      </c>
      <c r="I163" s="734" t="e">
        <f>H163/G163*100</f>
        <v>#REF!</v>
      </c>
      <c r="J163" s="89"/>
      <c r="K163" s="25"/>
      <c r="L163" s="25"/>
      <c r="M163" s="25"/>
    </row>
    <row r="164" spans="1:16" ht="24" hidden="1" customHeight="1" x14ac:dyDescent="0.25">
      <c r="A164" s="84"/>
      <c r="B164" s="77"/>
      <c r="C164" s="117"/>
      <c r="D164" s="446"/>
      <c r="E164" s="54"/>
      <c r="F164" s="54"/>
      <c r="G164" s="38"/>
      <c r="H164" s="39" t="e">
        <f>G164-#REF!</f>
        <v>#REF!</v>
      </c>
      <c r="I164" s="734" t="e">
        <f>H164/G164*100</f>
        <v>#REF!</v>
      </c>
      <c r="J164" s="89"/>
      <c r="K164" s="25"/>
      <c r="L164" s="25"/>
      <c r="M164" s="25"/>
    </row>
    <row r="165" spans="1:16" ht="20.25" hidden="1" customHeight="1" x14ac:dyDescent="0.25">
      <c r="A165" s="84"/>
      <c r="B165" s="77"/>
      <c r="C165" s="117"/>
      <c r="D165" s="446"/>
      <c r="E165" s="54"/>
      <c r="F165" s="54"/>
      <c r="G165" s="38"/>
      <c r="H165" s="39"/>
      <c r="I165" s="734" t="e">
        <f>H165/G165*100</f>
        <v>#DIV/0!</v>
      </c>
      <c r="J165" s="89"/>
      <c r="K165" s="25"/>
      <c r="L165" s="25"/>
      <c r="M165" s="25"/>
    </row>
    <row r="166" spans="1:16" ht="32.25" hidden="1" customHeight="1" x14ac:dyDescent="0.3">
      <c r="A166" s="26" t="s">
        <v>51</v>
      </c>
      <c r="B166" s="175">
        <v>7693</v>
      </c>
      <c r="C166" s="165"/>
      <c r="D166" s="558"/>
      <c r="E166" s="122">
        <f t="shared" ref="E166:H166" si="37">E167</f>
        <v>0</v>
      </c>
      <c r="F166" s="122">
        <f t="shared" si="37"/>
        <v>0</v>
      </c>
      <c r="G166" s="122">
        <f t="shared" si="37"/>
        <v>0</v>
      </c>
      <c r="H166" s="122" t="e">
        <f t="shared" si="37"/>
        <v>#REF!</v>
      </c>
      <c r="I166" s="734" t="e">
        <f>H166/G166*100</f>
        <v>#REF!</v>
      </c>
      <c r="J166" s="123"/>
      <c r="K166" s="25"/>
      <c r="L166" s="25"/>
      <c r="M166" s="25"/>
    </row>
    <row r="167" spans="1:16" ht="21" hidden="1" customHeight="1" x14ac:dyDescent="0.3">
      <c r="A167" s="31"/>
      <c r="B167" s="176"/>
      <c r="C167" s="168"/>
      <c r="D167" s="557" t="s">
        <v>13</v>
      </c>
      <c r="E167" s="48">
        <f t="shared" ref="E167:H167" si="38">SUM(E168:E170)</f>
        <v>0</v>
      </c>
      <c r="F167" s="48">
        <f t="shared" si="38"/>
        <v>0</v>
      </c>
      <c r="G167" s="48">
        <f t="shared" si="38"/>
        <v>0</v>
      </c>
      <c r="H167" s="48" t="e">
        <f t="shared" si="38"/>
        <v>#REF!</v>
      </c>
      <c r="I167" s="734" t="e">
        <f>H167/G167*100</f>
        <v>#REF!</v>
      </c>
      <c r="J167" s="123"/>
      <c r="K167" s="25"/>
      <c r="L167" s="25"/>
      <c r="M167" s="25"/>
    </row>
    <row r="168" spans="1:16" ht="22.5" hidden="1" customHeight="1" x14ac:dyDescent="0.25">
      <c r="A168" s="84"/>
      <c r="B168" s="77"/>
      <c r="C168" s="117"/>
      <c r="D168" s="574"/>
      <c r="E168" s="38"/>
      <c r="F168" s="38"/>
      <c r="G168" s="38"/>
      <c r="H168" s="487" t="e">
        <f>G168-#REF!</f>
        <v>#REF!</v>
      </c>
      <c r="I168" s="734" t="e">
        <f>H168/G168*100</f>
        <v>#REF!</v>
      </c>
      <c r="J168" s="89"/>
      <c r="K168" s="25"/>
      <c r="L168" s="25"/>
      <c r="M168" s="25"/>
    </row>
    <row r="169" spans="1:16" ht="45" hidden="1" customHeight="1" x14ac:dyDescent="0.25">
      <c r="A169" s="84"/>
      <c r="B169" s="77"/>
      <c r="C169" s="117"/>
      <c r="D169" s="575"/>
      <c r="E169" s="38"/>
      <c r="F169" s="38"/>
      <c r="G169" s="38"/>
      <c r="H169" s="39" t="e">
        <f>G169-#REF!</f>
        <v>#REF!</v>
      </c>
      <c r="I169" s="734" t="e">
        <f>H169/G169*100</f>
        <v>#REF!</v>
      </c>
      <c r="J169" s="89"/>
      <c r="K169" s="25"/>
      <c r="L169" s="25"/>
      <c r="M169" s="25"/>
    </row>
    <row r="170" spans="1:16" ht="15.75" customHeight="1" x14ac:dyDescent="0.25">
      <c r="A170" s="84"/>
      <c r="B170" s="77"/>
      <c r="C170" s="117"/>
      <c r="D170" s="446"/>
      <c r="E170" s="38"/>
      <c r="F170" s="38"/>
      <c r="G170" s="38"/>
      <c r="H170" s="39"/>
      <c r="I170" s="734"/>
      <c r="J170" s="89"/>
      <c r="K170" s="25"/>
      <c r="L170" s="25"/>
      <c r="M170" s="25"/>
    </row>
    <row r="171" spans="1:16" ht="22.5" customHeight="1" x14ac:dyDescent="0.25">
      <c r="A171" s="26" t="s">
        <v>241</v>
      </c>
      <c r="B171" s="175">
        <v>8220</v>
      </c>
      <c r="C171" s="97"/>
      <c r="D171" s="576"/>
      <c r="E171" s="70">
        <f t="shared" ref="E171:H172" si="39">E172</f>
        <v>0</v>
      </c>
      <c r="F171" s="70">
        <f t="shared" si="39"/>
        <v>94542</v>
      </c>
      <c r="G171" s="70">
        <f t="shared" si="39"/>
        <v>94542</v>
      </c>
      <c r="H171" s="70">
        <f t="shared" si="39"/>
        <v>94542</v>
      </c>
      <c r="I171" s="745">
        <f>H171/G171*100</f>
        <v>100</v>
      </c>
      <c r="J171" s="89"/>
      <c r="K171" s="25"/>
      <c r="L171" s="25"/>
      <c r="M171" s="25"/>
    </row>
    <row r="172" spans="1:16" ht="19.5" customHeight="1" x14ac:dyDescent="0.25">
      <c r="A172" s="148"/>
      <c r="B172" s="32"/>
      <c r="C172" s="133"/>
      <c r="D172" s="542" t="s">
        <v>13</v>
      </c>
      <c r="E172" s="46">
        <f t="shared" si="39"/>
        <v>0</v>
      </c>
      <c r="F172" s="46">
        <f t="shared" si="39"/>
        <v>94542</v>
      </c>
      <c r="G172" s="46">
        <f t="shared" si="39"/>
        <v>94542</v>
      </c>
      <c r="H172" s="46">
        <f t="shared" si="39"/>
        <v>94542</v>
      </c>
      <c r="I172" s="744">
        <f>H172/G172*100</f>
        <v>100</v>
      </c>
      <c r="J172" s="89"/>
      <c r="K172" s="25"/>
      <c r="L172" s="25"/>
      <c r="M172" s="25"/>
    </row>
    <row r="173" spans="1:16" s="141" customFormat="1" ht="45" customHeight="1" x14ac:dyDescent="0.25">
      <c r="A173" s="84"/>
      <c r="B173" s="77"/>
      <c r="C173" s="117"/>
      <c r="D173" s="685" t="s">
        <v>242</v>
      </c>
      <c r="E173" s="54"/>
      <c r="F173" s="54">
        <f>94542</f>
        <v>94542</v>
      </c>
      <c r="G173" s="38">
        <f>94542</f>
        <v>94542</v>
      </c>
      <c r="H173" s="39">
        <f>94542</f>
        <v>94542</v>
      </c>
      <c r="I173" s="734">
        <f>H173/G173*100</f>
        <v>100</v>
      </c>
      <c r="J173" s="89"/>
      <c r="K173" s="139"/>
      <c r="L173" s="139"/>
      <c r="M173" s="139"/>
      <c r="N173" s="140"/>
      <c r="O173" s="140"/>
      <c r="P173" s="140"/>
    </row>
    <row r="174" spans="1:16" s="141" customFormat="1" ht="18" customHeight="1" x14ac:dyDescent="0.25">
      <c r="A174" s="84"/>
      <c r="B174" s="77"/>
      <c r="C174" s="117"/>
      <c r="D174" s="446"/>
      <c r="E174" s="54"/>
      <c r="F174" s="54"/>
      <c r="G174" s="38"/>
      <c r="H174" s="39"/>
      <c r="I174" s="734"/>
      <c r="J174" s="89"/>
      <c r="K174" s="139"/>
      <c r="L174" s="139"/>
      <c r="M174" s="139"/>
      <c r="N174" s="140"/>
      <c r="O174" s="140"/>
      <c r="P174" s="140"/>
    </row>
    <row r="175" spans="1:16" s="141" customFormat="1" ht="18" customHeight="1" x14ac:dyDescent="0.25">
      <c r="A175" s="26" t="s">
        <v>53</v>
      </c>
      <c r="B175" s="175">
        <v>8230</v>
      </c>
      <c r="C175" s="97"/>
      <c r="D175" s="576"/>
      <c r="E175" s="70">
        <f t="shared" ref="E175:H176" si="40">E176</f>
        <v>30000000</v>
      </c>
      <c r="F175" s="70">
        <f t="shared" si="40"/>
        <v>29905458</v>
      </c>
      <c r="G175" s="70">
        <f t="shared" si="40"/>
        <v>19905458</v>
      </c>
      <c r="H175" s="70">
        <f t="shared" si="40"/>
        <v>13637500.130000001</v>
      </c>
      <c r="I175" s="745">
        <f>H175/G175*100</f>
        <v>68.511360703180003</v>
      </c>
      <c r="J175" s="64"/>
      <c r="K175" s="138">
        <f>H175+H652</f>
        <v>14992500</v>
      </c>
      <c r="L175" s="138">
        <f>I175+I652</f>
        <v>168.51136070318</v>
      </c>
      <c r="M175" s="139"/>
      <c r="N175" s="140"/>
      <c r="O175" s="140"/>
      <c r="P175" s="140"/>
    </row>
    <row r="176" spans="1:16" s="141" customFormat="1" ht="18" customHeight="1" x14ac:dyDescent="0.25">
      <c r="A176" s="148"/>
      <c r="B176" s="32"/>
      <c r="C176" s="133"/>
      <c r="D176" s="542" t="s">
        <v>13</v>
      </c>
      <c r="E176" s="46">
        <f t="shared" si="40"/>
        <v>30000000</v>
      </c>
      <c r="F176" s="46">
        <f>SUM(F177:F178)</f>
        <v>29905458</v>
      </c>
      <c r="G176" s="46">
        <f>SUM(G177:G178)</f>
        <v>19905458</v>
      </c>
      <c r="H176" s="46">
        <f>SUM(H177:H178)</f>
        <v>13637500.130000001</v>
      </c>
      <c r="I176" s="744">
        <f>H176/G176*100</f>
        <v>68.511360703180003</v>
      </c>
      <c r="J176" s="64"/>
      <c r="K176" s="139"/>
      <c r="L176" s="139"/>
      <c r="M176" s="139"/>
      <c r="N176" s="140"/>
      <c r="O176" s="140"/>
      <c r="P176" s="140"/>
    </row>
    <row r="177" spans="1:16" s="141" customFormat="1" ht="37.5" x14ac:dyDescent="0.25">
      <c r="A177" s="84"/>
      <c r="B177" s="77"/>
      <c r="C177" s="117"/>
      <c r="D177" s="577" t="s">
        <v>233</v>
      </c>
      <c r="E177" s="54">
        <f>30000000</f>
        <v>30000000</v>
      </c>
      <c r="F177" s="54">
        <f>30000000-94542</f>
        <v>29905458</v>
      </c>
      <c r="G177" s="673">
        <f>5000000+10000000+4905458</f>
        <v>19905458</v>
      </c>
      <c r="H177" s="39">
        <f>4997500+8640000.13</f>
        <v>13637500.130000001</v>
      </c>
      <c r="I177" s="734">
        <f>H177/G177*100</f>
        <v>68.511360703180003</v>
      </c>
      <c r="J177" s="89"/>
      <c r="K177" s="139"/>
      <c r="L177" s="139"/>
      <c r="M177" s="139"/>
      <c r="N177" s="140"/>
      <c r="O177" s="140"/>
      <c r="P177" s="140"/>
    </row>
    <row r="178" spans="1:16" s="141" customFormat="1" ht="11.25" customHeight="1" x14ac:dyDescent="0.25">
      <c r="A178" s="84"/>
      <c r="B178" s="77"/>
      <c r="C178" s="117"/>
      <c r="D178" s="578"/>
      <c r="E178" s="54"/>
      <c r="F178" s="54"/>
      <c r="G178" s="673"/>
      <c r="H178" s="39"/>
      <c r="I178" s="734"/>
      <c r="J178" s="89"/>
      <c r="K178" s="139"/>
      <c r="L178" s="139"/>
      <c r="M178" s="139"/>
      <c r="N178" s="140"/>
      <c r="O178" s="140"/>
      <c r="P178" s="140"/>
    </row>
    <row r="179" spans="1:16" s="141" customFormat="1" ht="18" customHeight="1" x14ac:dyDescent="0.25">
      <c r="A179" s="26" t="s">
        <v>54</v>
      </c>
      <c r="B179" s="175">
        <v>8240</v>
      </c>
      <c r="C179" s="97"/>
      <c r="D179" s="576"/>
      <c r="E179" s="70">
        <f t="shared" ref="E179:H180" si="41">E180</f>
        <v>5000000</v>
      </c>
      <c r="F179" s="70">
        <f t="shared" si="41"/>
        <v>5000000</v>
      </c>
      <c r="G179" s="674">
        <f t="shared" si="41"/>
        <v>5000000</v>
      </c>
      <c r="H179" s="70">
        <f t="shared" si="41"/>
        <v>0</v>
      </c>
      <c r="I179" s="745">
        <f>H179/G179*100</f>
        <v>0</v>
      </c>
      <c r="J179" s="64"/>
      <c r="K179" s="139"/>
      <c r="L179" s="139"/>
      <c r="M179" s="139"/>
      <c r="N179" s="140"/>
      <c r="O179" s="140"/>
      <c r="P179" s="140"/>
    </row>
    <row r="180" spans="1:16" s="141" customFormat="1" ht="18" customHeight="1" x14ac:dyDescent="0.25">
      <c r="A180" s="148"/>
      <c r="B180" s="32"/>
      <c r="C180" s="133"/>
      <c r="D180" s="542" t="s">
        <v>13</v>
      </c>
      <c r="E180" s="46">
        <f t="shared" si="41"/>
        <v>5000000</v>
      </c>
      <c r="F180" s="46">
        <f t="shared" si="41"/>
        <v>5000000</v>
      </c>
      <c r="G180" s="675">
        <f t="shared" si="41"/>
        <v>5000000</v>
      </c>
      <c r="H180" s="46">
        <f t="shared" si="41"/>
        <v>0</v>
      </c>
      <c r="I180" s="744">
        <f>H180/G180*100</f>
        <v>0</v>
      </c>
      <c r="J180" s="64"/>
      <c r="K180" s="139"/>
      <c r="L180" s="139"/>
      <c r="M180" s="139"/>
      <c r="N180" s="140"/>
      <c r="O180" s="140"/>
      <c r="P180" s="140"/>
    </row>
    <row r="181" spans="1:16" s="141" customFormat="1" ht="56.25" x14ac:dyDescent="0.25">
      <c r="A181" s="84"/>
      <c r="B181" s="77"/>
      <c r="C181" s="117"/>
      <c r="D181" s="577" t="s">
        <v>157</v>
      </c>
      <c r="E181" s="54">
        <f>5000000</f>
        <v>5000000</v>
      </c>
      <c r="F181" s="54">
        <f>5000000</f>
        <v>5000000</v>
      </c>
      <c r="G181" s="673">
        <f>5000000-5000000+5000000</f>
        <v>5000000</v>
      </c>
      <c r="H181" s="39"/>
      <c r="I181" s="734">
        <f>H181/G181*100</f>
        <v>0</v>
      </c>
      <c r="J181" s="89"/>
      <c r="K181" s="139"/>
      <c r="L181" s="139"/>
      <c r="M181" s="139"/>
      <c r="N181" s="140"/>
      <c r="O181" s="140"/>
      <c r="P181" s="140"/>
    </row>
    <row r="182" spans="1:16" s="141" customFormat="1" ht="11.25" customHeight="1" x14ac:dyDescent="0.25">
      <c r="A182" s="84"/>
      <c r="B182" s="77"/>
      <c r="C182" s="117"/>
      <c r="D182" s="579"/>
      <c r="E182" s="54"/>
      <c r="F182" s="54"/>
      <c r="G182" s="673"/>
      <c r="H182" s="39"/>
      <c r="I182" s="734"/>
      <c r="J182" s="89"/>
      <c r="K182" s="139"/>
      <c r="L182" s="139"/>
      <c r="M182" s="139"/>
      <c r="N182" s="140"/>
      <c r="O182" s="140"/>
      <c r="P182" s="140"/>
    </row>
    <row r="183" spans="1:16" s="141" customFormat="1" ht="24" hidden="1" customHeight="1" x14ac:dyDescent="0.25">
      <c r="A183" s="26" t="s">
        <v>55</v>
      </c>
      <c r="B183" s="175">
        <v>8775</v>
      </c>
      <c r="C183" s="97"/>
      <c r="D183" s="576"/>
      <c r="E183" s="70">
        <f t="shared" ref="E183:G184" si="42">E184</f>
        <v>0</v>
      </c>
      <c r="F183" s="70">
        <f t="shared" si="42"/>
        <v>0</v>
      </c>
      <c r="G183" s="674">
        <f t="shared" si="42"/>
        <v>0</v>
      </c>
      <c r="H183" s="95" t="e">
        <f>G183-#REF!</f>
        <v>#REF!</v>
      </c>
      <c r="I183" s="734" t="e">
        <f>H183/G183*100</f>
        <v>#REF!</v>
      </c>
      <c r="J183" s="64"/>
      <c r="K183" s="139"/>
      <c r="L183" s="139"/>
      <c r="M183" s="139"/>
      <c r="N183" s="140"/>
      <c r="O183" s="140"/>
      <c r="P183" s="140"/>
    </row>
    <row r="184" spans="1:16" s="141" customFormat="1" ht="18" hidden="1" customHeight="1" x14ac:dyDescent="0.25">
      <c r="A184" s="148"/>
      <c r="B184" s="32"/>
      <c r="C184" s="133"/>
      <c r="D184" s="542" t="s">
        <v>13</v>
      </c>
      <c r="E184" s="46">
        <f t="shared" si="42"/>
        <v>0</v>
      </c>
      <c r="F184" s="46">
        <f t="shared" si="42"/>
        <v>0</v>
      </c>
      <c r="G184" s="675">
        <f t="shared" si="42"/>
        <v>0</v>
      </c>
      <c r="H184" s="63" t="e">
        <f>G184-#REF!</f>
        <v>#REF!</v>
      </c>
      <c r="I184" s="734" t="e">
        <f>H184/G184*100</f>
        <v>#REF!</v>
      </c>
      <c r="J184" s="64"/>
      <c r="K184" s="139"/>
      <c r="L184" s="139"/>
      <c r="M184" s="139"/>
      <c r="N184" s="140"/>
      <c r="O184" s="140"/>
      <c r="P184" s="140"/>
    </row>
    <row r="185" spans="1:16" s="141" customFormat="1" ht="26.25" hidden="1" customHeight="1" x14ac:dyDescent="0.25">
      <c r="A185" s="84"/>
      <c r="B185" s="77"/>
      <c r="C185" s="117"/>
      <c r="D185" s="579"/>
      <c r="E185" s="54"/>
      <c r="F185" s="54"/>
      <c r="G185" s="673"/>
      <c r="H185" s="39" t="e">
        <f>G185-#REF!</f>
        <v>#REF!</v>
      </c>
      <c r="I185" s="734" t="e">
        <f>H185/G185*100</f>
        <v>#REF!</v>
      </c>
      <c r="J185" s="89"/>
      <c r="K185" s="139"/>
      <c r="L185" s="139"/>
      <c r="M185" s="139"/>
      <c r="N185" s="140"/>
      <c r="O185" s="140"/>
      <c r="P185" s="140"/>
    </row>
    <row r="186" spans="1:16" s="141" customFormat="1" ht="18" hidden="1" customHeight="1" x14ac:dyDescent="0.25">
      <c r="A186" s="84"/>
      <c r="B186" s="77"/>
      <c r="C186" s="117"/>
      <c r="D186" s="579"/>
      <c r="E186" s="54"/>
      <c r="F186" s="54"/>
      <c r="G186" s="673"/>
      <c r="H186" s="39"/>
      <c r="I186" s="734" t="e">
        <f>H186/G186*100</f>
        <v>#DIV/0!</v>
      </c>
      <c r="J186" s="89"/>
      <c r="K186" s="139"/>
      <c r="L186" s="139"/>
      <c r="M186" s="139"/>
      <c r="N186" s="140"/>
      <c r="O186" s="140"/>
      <c r="P186" s="140"/>
    </row>
    <row r="187" spans="1:16" s="141" customFormat="1" ht="19.5" customHeight="1" x14ac:dyDescent="0.25">
      <c r="A187" s="26" t="s">
        <v>56</v>
      </c>
      <c r="B187" s="175">
        <v>9800</v>
      </c>
      <c r="C187" s="97"/>
      <c r="D187" s="576"/>
      <c r="E187" s="70">
        <f t="shared" ref="E187:H187" si="43">E188</f>
        <v>32000000</v>
      </c>
      <c r="F187" s="70">
        <f t="shared" si="43"/>
        <v>32000000</v>
      </c>
      <c r="G187" s="674">
        <f t="shared" si="43"/>
        <v>16000000</v>
      </c>
      <c r="H187" s="70">
        <f t="shared" si="43"/>
        <v>0</v>
      </c>
      <c r="I187" s="745">
        <f>H187/G187*100</f>
        <v>0</v>
      </c>
      <c r="J187" s="47"/>
      <c r="K187" s="139"/>
      <c r="L187" s="139"/>
      <c r="M187" s="139"/>
      <c r="N187" s="140"/>
      <c r="O187" s="140"/>
      <c r="P187" s="140"/>
    </row>
    <row r="188" spans="1:16" s="141" customFormat="1" ht="23.25" customHeight="1" x14ac:dyDescent="0.25">
      <c r="A188" s="148"/>
      <c r="B188" s="32"/>
      <c r="C188" s="133"/>
      <c r="D188" s="542" t="s">
        <v>57</v>
      </c>
      <c r="E188" s="46">
        <f>E189</f>
        <v>32000000</v>
      </c>
      <c r="F188" s="46">
        <f>SUM(F189:F198)</f>
        <v>32000000</v>
      </c>
      <c r="G188" s="675">
        <f>SUM(G189:G198)</f>
        <v>16000000</v>
      </c>
      <c r="H188" s="46">
        <f>H189</f>
        <v>0</v>
      </c>
      <c r="I188" s="744">
        <f>H188/G188*100</f>
        <v>0</v>
      </c>
      <c r="J188" s="47"/>
      <c r="K188" s="139"/>
      <c r="L188" s="139"/>
      <c r="M188" s="139"/>
      <c r="N188" s="140"/>
      <c r="O188" s="140"/>
      <c r="P188" s="140"/>
    </row>
    <row r="189" spans="1:16" s="141" customFormat="1" ht="76.5" customHeight="1" x14ac:dyDescent="0.25">
      <c r="A189" s="76"/>
      <c r="B189" s="179"/>
      <c r="C189" s="117"/>
      <c r="D189" s="540" t="s">
        <v>158</v>
      </c>
      <c r="E189" s="38">
        <f>32000000</f>
        <v>32000000</v>
      </c>
      <c r="F189" s="38">
        <f>32000000</f>
        <v>32000000</v>
      </c>
      <c r="G189" s="673">
        <f>4000000-3000000+4000000+7000000+4000000</f>
        <v>16000000</v>
      </c>
      <c r="H189" s="39"/>
      <c r="I189" s="734">
        <f>H189/G189*100</f>
        <v>0</v>
      </c>
      <c r="J189" s="89"/>
      <c r="K189" s="139"/>
      <c r="L189" s="139"/>
      <c r="M189" s="139"/>
      <c r="N189" s="140"/>
      <c r="O189" s="140"/>
      <c r="P189" s="140"/>
    </row>
    <row r="190" spans="1:16" s="141" customFormat="1" ht="21" hidden="1" customHeight="1" x14ac:dyDescent="0.3">
      <c r="A190" s="76"/>
      <c r="B190" s="179"/>
      <c r="C190" s="117"/>
      <c r="D190" s="580"/>
      <c r="E190" s="38"/>
      <c r="F190" s="38"/>
      <c r="G190" s="38"/>
      <c r="H190" s="487" t="e">
        <f>G190-#REF!</f>
        <v>#REF!</v>
      </c>
      <c r="I190" s="734" t="e">
        <f>H190/G190*100</f>
        <v>#REF!</v>
      </c>
      <c r="J190" s="89"/>
      <c r="K190" s="139"/>
      <c r="L190" s="139"/>
      <c r="M190" s="139"/>
      <c r="N190" s="140"/>
      <c r="O190" s="140"/>
      <c r="P190" s="140"/>
    </row>
    <row r="191" spans="1:16" s="141" customFormat="1" ht="21" hidden="1" customHeight="1" x14ac:dyDescent="0.25">
      <c r="A191" s="76"/>
      <c r="B191" s="179"/>
      <c r="C191" s="117"/>
      <c r="D191" s="581"/>
      <c r="E191" s="38"/>
      <c r="F191" s="38"/>
      <c r="G191" s="38"/>
      <c r="H191" s="39" t="e">
        <f>G191-#REF!</f>
        <v>#REF!</v>
      </c>
      <c r="I191" s="734" t="e">
        <f>H191/G191*100</f>
        <v>#REF!</v>
      </c>
      <c r="J191" s="89"/>
      <c r="K191" s="139"/>
      <c r="L191" s="139"/>
      <c r="M191" s="139"/>
      <c r="N191" s="140"/>
      <c r="O191" s="140"/>
      <c r="P191" s="140"/>
    </row>
    <row r="192" spans="1:16" s="141" customFormat="1" ht="21" hidden="1" customHeight="1" x14ac:dyDescent="0.25">
      <c r="A192" s="76"/>
      <c r="B192" s="179"/>
      <c r="C192" s="117"/>
      <c r="D192" s="582"/>
      <c r="E192" s="38"/>
      <c r="F192" s="38"/>
      <c r="G192" s="38"/>
      <c r="H192" s="39" t="e">
        <f>G192-#REF!</f>
        <v>#REF!</v>
      </c>
      <c r="I192" s="734" t="e">
        <f>H192/G192*100</f>
        <v>#REF!</v>
      </c>
      <c r="J192" s="89"/>
      <c r="K192" s="139"/>
      <c r="L192" s="139"/>
      <c r="M192" s="139"/>
      <c r="N192" s="140"/>
      <c r="O192" s="140"/>
      <c r="P192" s="140"/>
    </row>
    <row r="193" spans="1:16" s="141" customFormat="1" ht="21" hidden="1" customHeight="1" x14ac:dyDescent="0.25">
      <c r="A193" s="76"/>
      <c r="B193" s="179"/>
      <c r="C193" s="117"/>
      <c r="D193" s="540"/>
      <c r="E193" s="38"/>
      <c r="F193" s="38"/>
      <c r="G193" s="38"/>
      <c r="H193" s="39" t="e">
        <f>G193-#REF!</f>
        <v>#REF!</v>
      </c>
      <c r="I193" s="734" t="e">
        <f>H193/G193*100</f>
        <v>#REF!</v>
      </c>
      <c r="J193" s="89"/>
      <c r="K193" s="139"/>
      <c r="L193" s="139"/>
      <c r="M193" s="139"/>
      <c r="N193" s="140"/>
      <c r="O193" s="140"/>
      <c r="P193" s="140"/>
    </row>
    <row r="194" spans="1:16" s="141" customFormat="1" ht="21" hidden="1" customHeight="1" x14ac:dyDescent="0.25">
      <c r="A194" s="76"/>
      <c r="B194" s="179"/>
      <c r="C194" s="117"/>
      <c r="D194" s="581"/>
      <c r="E194" s="38"/>
      <c r="F194" s="38"/>
      <c r="G194" s="38"/>
      <c r="H194" s="39" t="e">
        <f>G194-#REF!</f>
        <v>#REF!</v>
      </c>
      <c r="I194" s="734" t="e">
        <f>H194/G194*100</f>
        <v>#REF!</v>
      </c>
      <c r="J194" s="89"/>
      <c r="K194" s="139"/>
      <c r="L194" s="139"/>
      <c r="M194" s="139"/>
      <c r="N194" s="140"/>
      <c r="O194" s="140"/>
      <c r="P194" s="140"/>
    </row>
    <row r="195" spans="1:16" s="141" customFormat="1" ht="21" hidden="1" customHeight="1" x14ac:dyDescent="0.3">
      <c r="A195" s="84"/>
      <c r="B195" s="77"/>
      <c r="C195" s="117"/>
      <c r="D195" s="543"/>
      <c r="E195" s="54"/>
      <c r="F195" s="54"/>
      <c r="G195" s="38"/>
      <c r="H195" s="39" t="e">
        <f>G195-#REF!</f>
        <v>#REF!</v>
      </c>
      <c r="I195" s="734" t="e">
        <f>H195/G195*100</f>
        <v>#REF!</v>
      </c>
      <c r="J195" s="89"/>
      <c r="K195" s="139"/>
      <c r="L195" s="139"/>
      <c r="M195" s="139"/>
      <c r="N195" s="140"/>
      <c r="O195" s="140"/>
      <c r="P195" s="140"/>
    </row>
    <row r="196" spans="1:16" s="141" customFormat="1" ht="21" hidden="1" customHeight="1" x14ac:dyDescent="0.25">
      <c r="A196" s="84"/>
      <c r="B196" s="77"/>
      <c r="C196" s="117"/>
      <c r="D196" s="583"/>
      <c r="E196" s="54"/>
      <c r="F196" s="54"/>
      <c r="G196" s="54"/>
      <c r="H196" s="39" t="e">
        <f>G196-#REF!</f>
        <v>#REF!</v>
      </c>
      <c r="I196" s="734" t="e">
        <f>H196/G196*100</f>
        <v>#REF!</v>
      </c>
      <c r="J196" s="89"/>
      <c r="K196" s="139"/>
      <c r="L196" s="139"/>
      <c r="M196" s="139"/>
      <c r="N196" s="140"/>
      <c r="O196" s="140"/>
      <c r="P196" s="140"/>
    </row>
    <row r="197" spans="1:16" s="141" customFormat="1" ht="23.25" hidden="1" customHeight="1" x14ac:dyDescent="0.3">
      <c r="A197" s="84"/>
      <c r="B197" s="77"/>
      <c r="C197" s="117"/>
      <c r="D197" s="543"/>
      <c r="E197" s="54"/>
      <c r="F197" s="54"/>
      <c r="G197" s="54"/>
      <c r="H197" s="39" t="e">
        <f>G197-#REF!</f>
        <v>#REF!</v>
      </c>
      <c r="I197" s="734" t="e">
        <f>H197/G197*100</f>
        <v>#REF!</v>
      </c>
      <c r="J197" s="89"/>
      <c r="K197" s="139"/>
      <c r="L197" s="139"/>
      <c r="M197" s="139"/>
      <c r="N197" s="140"/>
      <c r="O197" s="140"/>
      <c r="P197" s="140"/>
    </row>
    <row r="198" spans="1:16" s="141" customFormat="1" ht="23.25" hidden="1" customHeight="1" x14ac:dyDescent="0.3">
      <c r="A198" s="84"/>
      <c r="B198" s="77"/>
      <c r="C198" s="117"/>
      <c r="D198" s="543"/>
      <c r="E198" s="54"/>
      <c r="F198" s="54"/>
      <c r="G198" s="54"/>
      <c r="H198" s="54" t="e">
        <f>H199</f>
        <v>#REF!</v>
      </c>
      <c r="I198" s="734" t="e">
        <f>H198/G198*100</f>
        <v>#REF!</v>
      </c>
      <c r="J198" s="89"/>
      <c r="K198" s="139"/>
      <c r="L198" s="139"/>
      <c r="M198" s="139"/>
      <c r="N198" s="140"/>
      <c r="O198" s="140"/>
      <c r="P198" s="140"/>
    </row>
    <row r="199" spans="1:16" s="141" customFormat="1" ht="23.25" hidden="1" customHeight="1" x14ac:dyDescent="0.3">
      <c r="A199" s="84"/>
      <c r="B199" s="77"/>
      <c r="C199" s="117"/>
      <c r="D199" s="584"/>
      <c r="E199" s="54"/>
      <c r="F199" s="181"/>
      <c r="G199" s="181"/>
      <c r="H199" s="181" t="e">
        <f>G199-#REF!</f>
        <v>#REF!</v>
      </c>
      <c r="I199" s="734" t="e">
        <f>H199/G199*100</f>
        <v>#REF!</v>
      </c>
      <c r="J199" s="182"/>
      <c r="K199" s="139"/>
      <c r="L199" s="139"/>
      <c r="M199" s="139"/>
      <c r="N199" s="140"/>
      <c r="O199" s="140"/>
      <c r="P199" s="140"/>
    </row>
    <row r="200" spans="1:16" s="141" customFormat="1" ht="23.25" hidden="1" customHeight="1" x14ac:dyDescent="0.3">
      <c r="A200" s="84"/>
      <c r="B200" s="77"/>
      <c r="C200" s="117"/>
      <c r="D200" s="584"/>
      <c r="E200" s="183"/>
      <c r="F200" s="183"/>
      <c r="G200" s="183"/>
      <c r="H200" s="39" t="e">
        <f>G200-#REF!</f>
        <v>#REF!</v>
      </c>
      <c r="I200" s="734" t="e">
        <f>H200/G200*100</f>
        <v>#REF!</v>
      </c>
      <c r="J200" s="89"/>
      <c r="K200" s="139"/>
      <c r="L200" s="139"/>
      <c r="M200" s="139"/>
      <c r="N200" s="140"/>
      <c r="O200" s="140"/>
      <c r="P200" s="140"/>
    </row>
    <row r="201" spans="1:16" s="141" customFormat="1" ht="23.25" hidden="1" customHeight="1" x14ac:dyDescent="0.3">
      <c r="A201" s="84"/>
      <c r="B201" s="77"/>
      <c r="C201" s="117"/>
      <c r="D201" s="584"/>
      <c r="E201" s="183"/>
      <c r="F201" s="183"/>
      <c r="G201" s="183"/>
      <c r="H201" s="39" t="e">
        <f>G201-#REF!</f>
        <v>#REF!</v>
      </c>
      <c r="I201" s="734" t="e">
        <f>H201/G201*100</f>
        <v>#REF!</v>
      </c>
      <c r="J201" s="89"/>
      <c r="K201" s="139"/>
      <c r="L201" s="139"/>
      <c r="M201" s="139"/>
      <c r="N201" s="140"/>
      <c r="O201" s="140"/>
      <c r="P201" s="140"/>
    </row>
    <row r="202" spans="1:16" ht="14.25" customHeight="1" x14ac:dyDescent="0.25">
      <c r="A202" s="84"/>
      <c r="B202" s="77"/>
      <c r="C202" s="117"/>
      <c r="D202" s="573"/>
      <c r="E202" s="38"/>
      <c r="F202" s="38"/>
      <c r="G202" s="38"/>
      <c r="H202" s="39"/>
      <c r="I202" s="734"/>
      <c r="J202" s="89"/>
      <c r="K202" s="25"/>
      <c r="L202" s="25"/>
      <c r="M202" s="25"/>
    </row>
    <row r="203" spans="1:16" ht="30" hidden="1" customHeight="1" x14ac:dyDescent="0.25">
      <c r="A203" s="150">
        <v>117370</v>
      </c>
      <c r="B203" s="150">
        <v>7370</v>
      </c>
      <c r="C203" s="184"/>
      <c r="D203" s="98"/>
      <c r="E203" s="99">
        <f t="shared" ref="E203:H203" si="44">E204</f>
        <v>0</v>
      </c>
      <c r="F203" s="99">
        <f t="shared" si="44"/>
        <v>0</v>
      </c>
      <c r="G203" s="99">
        <f t="shared" si="44"/>
        <v>0</v>
      </c>
      <c r="H203" s="99" t="e">
        <f t="shared" si="44"/>
        <v>#REF!</v>
      </c>
      <c r="I203" s="734" t="e">
        <f>H203/G203*100</f>
        <v>#REF!</v>
      </c>
      <c r="J203" s="89"/>
      <c r="K203" s="25"/>
      <c r="L203" s="25"/>
      <c r="M203" s="25"/>
    </row>
    <row r="204" spans="1:16" ht="31.5" hidden="1" customHeight="1" x14ac:dyDescent="0.3">
      <c r="A204" s="185"/>
      <c r="B204" s="186"/>
      <c r="C204" s="172"/>
      <c r="D204" s="557" t="s">
        <v>16</v>
      </c>
      <c r="E204" s="46">
        <f>E205</f>
        <v>0</v>
      </c>
      <c r="F204" s="46">
        <f>F205</f>
        <v>0</v>
      </c>
      <c r="G204" s="46">
        <f>G205</f>
        <v>0</v>
      </c>
      <c r="H204" s="46" t="e">
        <f>SUM(H205)</f>
        <v>#REF!</v>
      </c>
      <c r="I204" s="734" t="e">
        <f>H204/G204*100</f>
        <v>#REF!</v>
      </c>
      <c r="J204" s="89"/>
      <c r="K204" s="25"/>
      <c r="L204" s="25"/>
      <c r="M204" s="25"/>
    </row>
    <row r="205" spans="1:16" ht="42.75" hidden="1" customHeight="1" x14ac:dyDescent="0.25">
      <c r="A205" s="187"/>
      <c r="B205" s="188"/>
      <c r="C205" s="178"/>
      <c r="D205" s="446"/>
      <c r="E205" s="189"/>
      <c r="F205" s="39"/>
      <c r="G205" s="38"/>
      <c r="H205" s="39" t="e">
        <f>G205-#REF!</f>
        <v>#REF!</v>
      </c>
      <c r="I205" s="734" t="e">
        <f>H205/G205*100</f>
        <v>#REF!</v>
      </c>
      <c r="J205" s="89"/>
      <c r="K205" s="25"/>
      <c r="L205" s="25"/>
      <c r="M205" s="25"/>
    </row>
    <row r="206" spans="1:16" ht="19.5" hidden="1" customHeight="1" x14ac:dyDescent="0.25">
      <c r="A206" s="187"/>
      <c r="B206" s="188"/>
      <c r="C206" s="174"/>
      <c r="D206" s="566"/>
      <c r="E206" s="118"/>
      <c r="F206" s="190"/>
      <c r="G206" s="191"/>
      <c r="H206" s="190"/>
      <c r="I206" s="734" t="e">
        <f>H206/G206*100</f>
        <v>#DIV/0!</v>
      </c>
      <c r="J206" s="89"/>
      <c r="K206" s="25"/>
      <c r="L206" s="25"/>
      <c r="M206" s="25"/>
    </row>
    <row r="207" spans="1:16" ht="31.5" hidden="1" customHeight="1" x14ac:dyDescent="0.25">
      <c r="A207" s="150" t="s">
        <v>52</v>
      </c>
      <c r="B207" s="150">
        <v>8311</v>
      </c>
      <c r="C207" s="184"/>
      <c r="D207" s="98"/>
      <c r="E207" s="93">
        <f t="shared" ref="E207:H208" si="45">E208</f>
        <v>0</v>
      </c>
      <c r="F207" s="93">
        <f t="shared" si="45"/>
        <v>0</v>
      </c>
      <c r="G207" s="93">
        <f t="shared" si="45"/>
        <v>0</v>
      </c>
      <c r="H207" s="93" t="e">
        <f t="shared" si="45"/>
        <v>#REF!</v>
      </c>
      <c r="I207" s="734" t="e">
        <f>H207/G207*100</f>
        <v>#REF!</v>
      </c>
      <c r="J207" s="89"/>
      <c r="K207" s="25"/>
      <c r="L207" s="25"/>
      <c r="M207" s="25"/>
    </row>
    <row r="208" spans="1:16" ht="31.5" hidden="1" customHeight="1" x14ac:dyDescent="0.3">
      <c r="A208" s="185"/>
      <c r="B208" s="168"/>
      <c r="C208" s="172"/>
      <c r="D208" s="557" t="s">
        <v>16</v>
      </c>
      <c r="E208" s="193">
        <f t="shared" si="45"/>
        <v>0</v>
      </c>
      <c r="F208" s="193">
        <f t="shared" si="45"/>
        <v>0</v>
      </c>
      <c r="G208" s="193">
        <f t="shared" si="45"/>
        <v>0</v>
      </c>
      <c r="H208" s="193" t="e">
        <f t="shared" si="45"/>
        <v>#REF!</v>
      </c>
      <c r="I208" s="734" t="e">
        <f>H208/G208*100</f>
        <v>#REF!</v>
      </c>
      <c r="J208" s="89"/>
      <c r="K208" s="25"/>
      <c r="L208" s="25"/>
      <c r="M208" s="25"/>
    </row>
    <row r="209" spans="1:16" ht="31.5" hidden="1" customHeight="1" x14ac:dyDescent="0.25">
      <c r="A209" s="187"/>
      <c r="B209" s="170"/>
      <c r="C209" s="174"/>
      <c r="D209" s="571"/>
      <c r="E209" s="146"/>
      <c r="F209" s="194"/>
      <c r="G209" s="38"/>
      <c r="H209" s="39" t="e">
        <f>G209-#REF!</f>
        <v>#REF!</v>
      </c>
      <c r="I209" s="734" t="e">
        <f>H209/G209*100</f>
        <v>#REF!</v>
      </c>
      <c r="J209" s="89"/>
      <c r="K209" s="25"/>
      <c r="L209" s="25"/>
      <c r="M209" s="25"/>
    </row>
    <row r="210" spans="1:16" ht="31.5" hidden="1" customHeight="1" x14ac:dyDescent="0.3">
      <c r="A210" s="195"/>
      <c r="B210" s="196"/>
      <c r="C210" s="197"/>
      <c r="D210" s="585"/>
      <c r="E210" s="159"/>
      <c r="F210" s="159"/>
      <c r="G210" s="159"/>
      <c r="H210" s="159"/>
      <c r="I210" s="734" t="e">
        <f>H210/G210*100</f>
        <v>#DIV/0!</v>
      </c>
      <c r="J210" s="89"/>
      <c r="K210" s="25"/>
      <c r="L210" s="25"/>
      <c r="M210" s="25"/>
    </row>
    <row r="211" spans="1:16" ht="26.25" customHeight="1" x14ac:dyDescent="0.25">
      <c r="A211" s="198" t="s">
        <v>58</v>
      </c>
      <c r="B211" s="199"/>
      <c r="C211" s="200"/>
      <c r="D211" s="201" t="s">
        <v>59</v>
      </c>
      <c r="E211" s="202">
        <f>E212+E219+E253+E270+E278+E283</f>
        <v>4000000</v>
      </c>
      <c r="F211" s="202">
        <f t="shared" ref="F211" si="46">F212+F219+F253+F270+F278+F283</f>
        <v>17593482</v>
      </c>
      <c r="G211" s="202">
        <f>G212+G219+G253+G270+G278+G283</f>
        <v>5208153</v>
      </c>
      <c r="H211" s="202">
        <f>H253+H283</f>
        <v>693481.2</v>
      </c>
      <c r="I211" s="742">
        <f>H211/G211*100</f>
        <v>13.315300068949586</v>
      </c>
      <c r="J211" s="89"/>
      <c r="K211" s="25"/>
      <c r="L211" s="25"/>
      <c r="M211" s="25"/>
    </row>
    <row r="212" spans="1:16" s="141" customFormat="1" ht="34.5" hidden="1" customHeight="1" x14ac:dyDescent="0.25">
      <c r="A212" s="204" t="s">
        <v>60</v>
      </c>
      <c r="B212" s="205" t="s">
        <v>61</v>
      </c>
      <c r="C212" s="206"/>
      <c r="D212" s="207"/>
      <c r="E212" s="27">
        <f t="shared" ref="E212:H212" si="47">E213+E216</f>
        <v>0</v>
      </c>
      <c r="F212" s="208">
        <f t="shared" si="47"/>
        <v>0</v>
      </c>
      <c r="G212" s="208">
        <f t="shared" si="47"/>
        <v>0</v>
      </c>
      <c r="H212" s="208" t="e">
        <f t="shared" si="47"/>
        <v>#REF!</v>
      </c>
      <c r="I212" s="741" t="e">
        <f>H212/G212*100</f>
        <v>#REF!</v>
      </c>
      <c r="J212" s="89"/>
      <c r="K212" s="139"/>
      <c r="L212" s="139"/>
      <c r="M212" s="139"/>
      <c r="N212" s="140"/>
      <c r="O212" s="140"/>
      <c r="P212" s="140"/>
    </row>
    <row r="213" spans="1:16" s="53" customFormat="1" ht="28.5" hidden="1" customHeight="1" x14ac:dyDescent="0.3">
      <c r="A213" s="210"/>
      <c r="B213" s="167"/>
      <c r="C213" s="211"/>
      <c r="D213" s="557" t="s">
        <v>13</v>
      </c>
      <c r="E213" s="106">
        <f>SUM(E214)</f>
        <v>0</v>
      </c>
      <c r="F213" s="63">
        <f>SUM(F214:F215)</f>
        <v>0</v>
      </c>
      <c r="G213" s="63">
        <f>SUM(G214:G215)</f>
        <v>0</v>
      </c>
      <c r="H213" s="63" t="e">
        <f>SUM(H214:H215)</f>
        <v>#REF!</v>
      </c>
      <c r="I213" s="741" t="e">
        <f>H213/G213*100</f>
        <v>#REF!</v>
      </c>
      <c r="J213" s="89"/>
      <c r="K213" s="51"/>
      <c r="L213" s="51"/>
      <c r="M213" s="51"/>
      <c r="N213" s="52"/>
      <c r="O213" s="52"/>
      <c r="P213" s="52"/>
    </row>
    <row r="214" spans="1:16" ht="24" hidden="1" customHeight="1" x14ac:dyDescent="0.25">
      <c r="A214" s="187"/>
      <c r="B214" s="188"/>
      <c r="C214" s="212"/>
      <c r="D214" s="586"/>
      <c r="E214" s="147"/>
      <c r="F214" s="147"/>
      <c r="G214" s="38"/>
      <c r="H214" s="39" t="e">
        <f>G214-#REF!</f>
        <v>#REF!</v>
      </c>
      <c r="I214" s="741" t="e">
        <f>H214/G214*100</f>
        <v>#REF!</v>
      </c>
      <c r="J214" s="89"/>
      <c r="K214" s="25"/>
      <c r="L214" s="25"/>
      <c r="M214" s="25"/>
    </row>
    <row r="215" spans="1:16" ht="16.5" hidden="1" customHeight="1" x14ac:dyDescent="0.25">
      <c r="A215" s="187"/>
      <c r="B215" s="188"/>
      <c r="C215" s="212"/>
      <c r="D215" s="550"/>
      <c r="E215" s="39"/>
      <c r="F215" s="38"/>
      <c r="G215" s="38"/>
      <c r="H215" s="39" t="e">
        <f>G215-#REF!</f>
        <v>#REF!</v>
      </c>
      <c r="I215" s="741" t="e">
        <f>H215/G215*100</f>
        <v>#REF!</v>
      </c>
      <c r="J215" s="89"/>
      <c r="K215" s="25"/>
      <c r="L215" s="25"/>
      <c r="M215" s="25"/>
    </row>
    <row r="216" spans="1:16" s="53" customFormat="1" ht="30.75" hidden="1" customHeight="1" x14ac:dyDescent="0.3">
      <c r="A216" s="185"/>
      <c r="B216" s="167"/>
      <c r="C216" s="211"/>
      <c r="D216" s="557" t="s">
        <v>15</v>
      </c>
      <c r="E216" s="46">
        <f t="shared" ref="E216:H216" si="48">SUM(E217:E217)</f>
        <v>0</v>
      </c>
      <c r="F216" s="46">
        <f t="shared" si="48"/>
        <v>0</v>
      </c>
      <c r="G216" s="46">
        <f t="shared" si="48"/>
        <v>0</v>
      </c>
      <c r="H216" s="46" t="e">
        <f t="shared" si="48"/>
        <v>#REF!</v>
      </c>
      <c r="I216" s="741" t="e">
        <f>H216/G216*100</f>
        <v>#REF!</v>
      </c>
      <c r="J216" s="89"/>
      <c r="K216" s="51"/>
      <c r="L216" s="51"/>
      <c r="M216" s="51"/>
      <c r="N216" s="52"/>
      <c r="O216" s="52"/>
      <c r="P216" s="52"/>
    </row>
    <row r="217" spans="1:16" ht="43.5" hidden="1" customHeight="1" x14ac:dyDescent="0.25">
      <c r="A217" s="187"/>
      <c r="B217" s="213"/>
      <c r="C217" s="212"/>
      <c r="D217" s="550"/>
      <c r="E217" s="147"/>
      <c r="F217" s="37"/>
      <c r="G217" s="38"/>
      <c r="H217" s="39" t="e">
        <f>G217-#REF!</f>
        <v>#REF!</v>
      </c>
      <c r="I217" s="741" t="e">
        <f>H217/G217*100</f>
        <v>#REF!</v>
      </c>
      <c r="J217" s="89"/>
      <c r="K217" s="25"/>
      <c r="L217" s="25"/>
      <c r="M217" s="25"/>
    </row>
    <row r="218" spans="1:16" ht="25.5" hidden="1" customHeight="1" x14ac:dyDescent="0.25">
      <c r="A218" s="187"/>
      <c r="B218" s="213"/>
      <c r="C218" s="214"/>
      <c r="D218" s="587"/>
      <c r="E218" s="146"/>
      <c r="F218" s="215"/>
      <c r="G218" s="191"/>
      <c r="H218" s="190"/>
      <c r="I218" s="741" t="e">
        <f>H218/G218*100</f>
        <v>#DIV/0!</v>
      </c>
      <c r="J218" s="89"/>
      <c r="K218" s="25"/>
      <c r="L218" s="25"/>
      <c r="M218" s="25"/>
    </row>
    <row r="219" spans="1:16" ht="22.5" hidden="1" customHeight="1" x14ac:dyDescent="0.25">
      <c r="A219" s="204" t="s">
        <v>62</v>
      </c>
      <c r="B219" s="204" t="s">
        <v>63</v>
      </c>
      <c r="C219" s="216"/>
      <c r="D219" s="588"/>
      <c r="E219" s="217">
        <f>E220+E223</f>
        <v>0</v>
      </c>
      <c r="F219" s="217">
        <f>F220+F223+F250</f>
        <v>0</v>
      </c>
      <c r="G219" s="217">
        <f>G220+G223+G250</f>
        <v>0</v>
      </c>
      <c r="H219" s="217" t="e">
        <f>H220+H223+H250</f>
        <v>#REF!</v>
      </c>
      <c r="I219" s="741" t="e">
        <f>H219/G219*100</f>
        <v>#REF!</v>
      </c>
      <c r="J219" s="89"/>
      <c r="K219" s="25"/>
      <c r="L219" s="25"/>
      <c r="M219" s="25"/>
    </row>
    <row r="220" spans="1:16" s="53" customFormat="1" ht="21" hidden="1" customHeight="1" x14ac:dyDescent="0.3">
      <c r="A220" s="185"/>
      <c r="B220" s="210"/>
      <c r="C220" s="219"/>
      <c r="D220" s="557" t="s">
        <v>13</v>
      </c>
      <c r="E220" s="220">
        <f t="shared" ref="E220:H220" si="49">SUM(E221)</f>
        <v>0</v>
      </c>
      <c r="F220" s="220">
        <f t="shared" si="49"/>
        <v>0</v>
      </c>
      <c r="G220" s="220">
        <f t="shared" si="49"/>
        <v>0</v>
      </c>
      <c r="H220" s="220" t="e">
        <f t="shared" si="49"/>
        <v>#REF!</v>
      </c>
      <c r="I220" s="741" t="e">
        <f>H220/G220*100</f>
        <v>#REF!</v>
      </c>
      <c r="J220" s="89"/>
      <c r="K220" s="51"/>
      <c r="L220" s="51"/>
      <c r="M220" s="51"/>
      <c r="N220" s="52"/>
      <c r="O220" s="52"/>
      <c r="P220" s="52"/>
    </row>
    <row r="221" spans="1:16" ht="21" hidden="1" customHeight="1" x14ac:dyDescent="0.25">
      <c r="A221" s="187"/>
      <c r="B221" s="188"/>
      <c r="C221" s="212"/>
      <c r="D221" s="586"/>
      <c r="E221" s="147"/>
      <c r="F221" s="147"/>
      <c r="G221" s="38"/>
      <c r="H221" s="39" t="e">
        <f>G221-#REF!</f>
        <v>#REF!</v>
      </c>
      <c r="I221" s="741" t="e">
        <f>H221/G221*100</f>
        <v>#REF!</v>
      </c>
      <c r="J221" s="89"/>
      <c r="K221" s="25"/>
      <c r="L221" s="25"/>
      <c r="M221" s="25"/>
    </row>
    <row r="222" spans="1:16" ht="12.75" hidden="1" customHeight="1" x14ac:dyDescent="0.25">
      <c r="A222" s="187"/>
      <c r="B222" s="188"/>
      <c r="C222" s="212"/>
      <c r="D222" s="540"/>
      <c r="E222" s="222"/>
      <c r="F222" s="222"/>
      <c r="G222" s="223"/>
      <c r="H222" s="224"/>
      <c r="I222" s="741" t="e">
        <f>H222/G222*100</f>
        <v>#DIV/0!</v>
      </c>
      <c r="J222" s="89"/>
      <c r="K222" s="25"/>
      <c r="L222" s="25"/>
      <c r="M222" s="25"/>
    </row>
    <row r="223" spans="1:16" s="53" customFormat="1" ht="35.25" hidden="1" customHeight="1" x14ac:dyDescent="0.3">
      <c r="A223" s="185"/>
      <c r="B223" s="167"/>
      <c r="C223" s="211"/>
      <c r="D223" s="557" t="s">
        <v>15</v>
      </c>
      <c r="E223" s="225">
        <f t="shared" ref="E223:H223" si="50">SUM(E224:E252)</f>
        <v>0</v>
      </c>
      <c r="F223" s="225">
        <f t="shared" si="50"/>
        <v>0</v>
      </c>
      <c r="G223" s="225">
        <f t="shared" si="50"/>
        <v>0</v>
      </c>
      <c r="H223" s="225" t="e">
        <f t="shared" si="50"/>
        <v>#REF!</v>
      </c>
      <c r="I223" s="741" t="e">
        <f>H223/G223*100</f>
        <v>#REF!</v>
      </c>
      <c r="J223" s="89"/>
      <c r="K223" s="51"/>
      <c r="L223" s="51"/>
      <c r="M223" s="51"/>
      <c r="N223" s="52"/>
      <c r="O223" s="52"/>
      <c r="P223" s="52"/>
    </row>
    <row r="224" spans="1:16" hidden="1" x14ac:dyDescent="0.3">
      <c r="A224" s="187"/>
      <c r="B224" s="213"/>
      <c r="C224" s="212"/>
      <c r="D224" s="543"/>
      <c r="E224" s="147"/>
      <c r="F224" s="484"/>
      <c r="G224" s="226"/>
      <c r="H224" s="487" t="e">
        <f>G224-#REF!</f>
        <v>#REF!</v>
      </c>
      <c r="I224" s="741" t="e">
        <f>H224/G224*100</f>
        <v>#REF!</v>
      </c>
      <c r="J224" s="89"/>
      <c r="K224" s="25"/>
      <c r="L224" s="25"/>
      <c r="M224" s="25"/>
    </row>
    <row r="225" spans="1:13" ht="21" hidden="1" customHeight="1" x14ac:dyDescent="0.3">
      <c r="A225" s="187"/>
      <c r="B225" s="213"/>
      <c r="C225" s="212"/>
      <c r="D225" s="589"/>
      <c r="E225" s="147"/>
      <c r="F225" s="484"/>
      <c r="G225" s="226"/>
      <c r="H225" s="487" t="e">
        <f>G225-#REF!</f>
        <v>#REF!</v>
      </c>
      <c r="I225" s="741" t="e">
        <f>H225/G225*100</f>
        <v>#REF!</v>
      </c>
      <c r="J225" s="89"/>
      <c r="K225" s="25"/>
      <c r="L225" s="25"/>
      <c r="M225" s="25"/>
    </row>
    <row r="226" spans="1:13" ht="21" hidden="1" customHeight="1" x14ac:dyDescent="0.25">
      <c r="A226" s="187"/>
      <c r="B226" s="213"/>
      <c r="C226" s="212"/>
      <c r="D226" s="563"/>
      <c r="E226" s="147"/>
      <c r="F226" s="484"/>
      <c r="G226" s="226"/>
      <c r="H226" s="487" t="e">
        <f>G226-#REF!</f>
        <v>#REF!</v>
      </c>
      <c r="I226" s="741" t="e">
        <f>H226/G226*100</f>
        <v>#REF!</v>
      </c>
      <c r="J226" s="89"/>
      <c r="K226" s="25"/>
      <c r="L226" s="25"/>
      <c r="M226" s="25"/>
    </row>
    <row r="227" spans="1:13" ht="21" hidden="1" customHeight="1" x14ac:dyDescent="0.25">
      <c r="A227" s="187"/>
      <c r="B227" s="213"/>
      <c r="C227" s="212"/>
      <c r="D227" s="590"/>
      <c r="E227" s="147"/>
      <c r="F227" s="484"/>
      <c r="G227" s="226"/>
      <c r="H227" s="487" t="e">
        <f>G227-#REF!</f>
        <v>#REF!</v>
      </c>
      <c r="I227" s="741" t="e">
        <f>H227/G227*100</f>
        <v>#REF!</v>
      </c>
      <c r="J227" s="89"/>
      <c r="K227" s="25"/>
      <c r="L227" s="25"/>
      <c r="M227" s="25"/>
    </row>
    <row r="228" spans="1:13" ht="21" hidden="1" customHeight="1" x14ac:dyDescent="0.25">
      <c r="A228" s="187"/>
      <c r="B228" s="213"/>
      <c r="C228" s="212"/>
      <c r="D228" s="581"/>
      <c r="E228" s="147"/>
      <c r="F228" s="484"/>
      <c r="G228" s="226"/>
      <c r="H228" s="487" t="e">
        <f>G228-#REF!</f>
        <v>#REF!</v>
      </c>
      <c r="I228" s="741" t="e">
        <f>H228/G228*100</f>
        <v>#REF!</v>
      </c>
      <c r="J228" s="89"/>
      <c r="K228" s="25"/>
      <c r="L228" s="25"/>
      <c r="M228" s="25"/>
    </row>
    <row r="229" spans="1:13" ht="21" hidden="1" customHeight="1" x14ac:dyDescent="0.25">
      <c r="A229" s="187"/>
      <c r="B229" s="213"/>
      <c r="C229" s="212"/>
      <c r="D229" s="591"/>
      <c r="E229" s="147"/>
      <c r="F229" s="484"/>
      <c r="G229" s="226"/>
      <c r="H229" s="487" t="e">
        <f>G229-#REF!</f>
        <v>#REF!</v>
      </c>
      <c r="I229" s="741" t="e">
        <f>H229/G229*100</f>
        <v>#REF!</v>
      </c>
      <c r="J229" s="89"/>
      <c r="K229" s="25"/>
      <c r="L229" s="25"/>
      <c r="M229" s="25"/>
    </row>
    <row r="230" spans="1:13" ht="21" hidden="1" customHeight="1" x14ac:dyDescent="0.25">
      <c r="A230" s="187"/>
      <c r="B230" s="213"/>
      <c r="C230" s="212"/>
      <c r="D230" s="582"/>
      <c r="E230" s="147"/>
      <c r="F230" s="484"/>
      <c r="G230" s="226"/>
      <c r="H230" s="487" t="e">
        <f>G230-#REF!</f>
        <v>#REF!</v>
      </c>
      <c r="I230" s="741" t="e">
        <f>H230/G230*100</f>
        <v>#REF!</v>
      </c>
      <c r="J230" s="89"/>
      <c r="K230" s="25"/>
      <c r="L230" s="25"/>
      <c r="M230" s="25"/>
    </row>
    <row r="231" spans="1:13" ht="21" hidden="1" customHeight="1" x14ac:dyDescent="0.3">
      <c r="A231" s="187"/>
      <c r="B231" s="213"/>
      <c r="C231" s="212"/>
      <c r="D231" s="543"/>
      <c r="E231" s="147"/>
      <c r="F231" s="484"/>
      <c r="G231" s="226"/>
      <c r="H231" s="487" t="e">
        <f>G231-#REF!</f>
        <v>#REF!</v>
      </c>
      <c r="I231" s="741" t="e">
        <f>H231/G231*100</f>
        <v>#REF!</v>
      </c>
      <c r="J231" s="89"/>
      <c r="K231" s="25"/>
      <c r="L231" s="25"/>
      <c r="M231" s="25"/>
    </row>
    <row r="232" spans="1:13" ht="21" hidden="1" customHeight="1" x14ac:dyDescent="0.25">
      <c r="A232" s="187"/>
      <c r="B232" s="213"/>
      <c r="C232" s="214"/>
      <c r="D232" s="592"/>
      <c r="E232" s="147"/>
      <c r="F232" s="147"/>
      <c r="G232" s="38"/>
      <c r="H232" s="39" t="e">
        <f>G232-#REF!</f>
        <v>#REF!</v>
      </c>
      <c r="I232" s="741" t="e">
        <f>H232/G232*100</f>
        <v>#REF!</v>
      </c>
      <c r="J232" s="89"/>
      <c r="K232" s="25"/>
      <c r="L232" s="25"/>
      <c r="M232" s="25"/>
    </row>
    <row r="233" spans="1:13" ht="21.75" hidden="1" customHeight="1" x14ac:dyDescent="0.25">
      <c r="A233" s="187"/>
      <c r="B233" s="213"/>
      <c r="C233" s="214"/>
      <c r="D233" s="581"/>
      <c r="E233" s="147"/>
      <c r="F233" s="147"/>
      <c r="G233" s="38"/>
      <c r="H233" s="39" t="e">
        <f>G233-#REF!</f>
        <v>#REF!</v>
      </c>
      <c r="I233" s="741" t="e">
        <f>H233/G233*100</f>
        <v>#REF!</v>
      </c>
      <c r="J233" s="89"/>
      <c r="K233" s="25"/>
      <c r="L233" s="25"/>
      <c r="M233" s="25"/>
    </row>
    <row r="234" spans="1:13" ht="21.75" hidden="1" customHeight="1" x14ac:dyDescent="0.25">
      <c r="A234" s="187"/>
      <c r="B234" s="213"/>
      <c r="C234" s="214"/>
      <c r="D234" s="544"/>
      <c r="E234" s="227"/>
      <c r="F234" s="226"/>
      <c r="G234" s="38"/>
      <c r="H234" s="39" t="e">
        <f>G234-#REF!</f>
        <v>#REF!</v>
      </c>
      <c r="I234" s="741" t="e">
        <f>H234/G234*100</f>
        <v>#REF!</v>
      </c>
      <c r="J234" s="89"/>
      <c r="K234" s="25"/>
      <c r="L234" s="25"/>
      <c r="M234" s="25"/>
    </row>
    <row r="235" spans="1:13" ht="21.75" hidden="1" customHeight="1" x14ac:dyDescent="0.25">
      <c r="A235" s="187"/>
      <c r="B235" s="213"/>
      <c r="C235" s="214"/>
      <c r="D235" s="544"/>
      <c r="E235" s="227"/>
      <c r="F235" s="226"/>
      <c r="G235" s="38"/>
      <c r="H235" s="39" t="e">
        <f>G235-#REF!</f>
        <v>#REF!</v>
      </c>
      <c r="I235" s="741" t="e">
        <f>H235/G235*100</f>
        <v>#REF!</v>
      </c>
      <c r="J235" s="89"/>
      <c r="K235" s="25"/>
      <c r="L235" s="25"/>
      <c r="M235" s="25"/>
    </row>
    <row r="236" spans="1:13" ht="21.75" hidden="1" customHeight="1" x14ac:dyDescent="0.25">
      <c r="A236" s="187"/>
      <c r="B236" s="213"/>
      <c r="C236" s="214"/>
      <c r="D236" s="540"/>
      <c r="E236" s="227"/>
      <c r="F236" s="226"/>
      <c r="G236" s="38"/>
      <c r="H236" s="39" t="e">
        <f>G236-#REF!</f>
        <v>#REF!</v>
      </c>
      <c r="I236" s="741" t="e">
        <f>H236/G236*100</f>
        <v>#REF!</v>
      </c>
      <c r="J236" s="89"/>
      <c r="K236" s="25"/>
      <c r="L236" s="25"/>
      <c r="M236" s="25"/>
    </row>
    <row r="237" spans="1:13" ht="21.75" hidden="1" customHeight="1" x14ac:dyDescent="0.25">
      <c r="A237" s="187"/>
      <c r="B237" s="213"/>
      <c r="C237" s="214"/>
      <c r="D237" s="540"/>
      <c r="E237" s="227"/>
      <c r="F237" s="226"/>
      <c r="G237" s="38"/>
      <c r="H237" s="39" t="e">
        <f>G237-#REF!</f>
        <v>#REF!</v>
      </c>
      <c r="I237" s="741" t="e">
        <f>H237/G237*100</f>
        <v>#REF!</v>
      </c>
      <c r="J237" s="89"/>
      <c r="K237" s="25"/>
      <c r="L237" s="25"/>
      <c r="M237" s="25"/>
    </row>
    <row r="238" spans="1:13" ht="21.75" hidden="1" customHeight="1" x14ac:dyDescent="0.25">
      <c r="A238" s="187"/>
      <c r="B238" s="213"/>
      <c r="C238" s="214"/>
      <c r="D238" s="540"/>
      <c r="E238" s="227"/>
      <c r="F238" s="226"/>
      <c r="G238" s="38"/>
      <c r="H238" s="39" t="e">
        <f>G238-#REF!</f>
        <v>#REF!</v>
      </c>
      <c r="I238" s="741" t="e">
        <f>H238/G238*100</f>
        <v>#REF!</v>
      </c>
      <c r="J238" s="89"/>
      <c r="K238" s="25"/>
      <c r="L238" s="25"/>
      <c r="M238" s="25"/>
    </row>
    <row r="239" spans="1:13" ht="21.75" hidden="1" customHeight="1" x14ac:dyDescent="0.25">
      <c r="A239" s="187"/>
      <c r="B239" s="213"/>
      <c r="C239" s="214"/>
      <c r="D239" s="540"/>
      <c r="E239" s="227"/>
      <c r="F239" s="226"/>
      <c r="G239" s="38"/>
      <c r="H239" s="39" t="e">
        <f>G239-#REF!</f>
        <v>#REF!</v>
      </c>
      <c r="I239" s="741" t="e">
        <f>H239/G239*100</f>
        <v>#REF!</v>
      </c>
      <c r="J239" s="89"/>
      <c r="K239" s="25"/>
      <c r="L239" s="25"/>
      <c r="M239" s="25"/>
    </row>
    <row r="240" spans="1:13" ht="21.75" hidden="1" customHeight="1" x14ac:dyDescent="0.25">
      <c r="A240" s="187"/>
      <c r="B240" s="213"/>
      <c r="C240" s="214"/>
      <c r="D240" s="540"/>
      <c r="E240" s="227"/>
      <c r="F240" s="226"/>
      <c r="G240" s="38"/>
      <c r="H240" s="39" t="e">
        <f>G240-#REF!</f>
        <v>#REF!</v>
      </c>
      <c r="I240" s="741" t="e">
        <f>H240/G240*100</f>
        <v>#REF!</v>
      </c>
      <c r="J240" s="89"/>
      <c r="K240" s="25"/>
      <c r="L240" s="25"/>
      <c r="M240" s="25"/>
    </row>
    <row r="241" spans="1:16" ht="21.75" hidden="1" customHeight="1" x14ac:dyDescent="0.25">
      <c r="A241" s="187"/>
      <c r="B241" s="213"/>
      <c r="C241" s="214"/>
      <c r="D241" s="540"/>
      <c r="E241" s="227"/>
      <c r="F241" s="226"/>
      <c r="G241" s="38"/>
      <c r="H241" s="39" t="e">
        <f>G241-#REF!</f>
        <v>#REF!</v>
      </c>
      <c r="I241" s="741" t="e">
        <f>H241/G241*100</f>
        <v>#REF!</v>
      </c>
      <c r="J241" s="89"/>
      <c r="K241" s="25"/>
      <c r="L241" s="25"/>
      <c r="M241" s="25"/>
    </row>
    <row r="242" spans="1:16" ht="21.75" hidden="1" customHeight="1" x14ac:dyDescent="0.25">
      <c r="A242" s="187"/>
      <c r="B242" s="213"/>
      <c r="C242" s="214"/>
      <c r="D242" s="540"/>
      <c r="E242" s="227"/>
      <c r="F242" s="226"/>
      <c r="G242" s="38"/>
      <c r="H242" s="39" t="e">
        <f>G242-#REF!</f>
        <v>#REF!</v>
      </c>
      <c r="I242" s="741" t="e">
        <f>H242/G242*100</f>
        <v>#REF!</v>
      </c>
      <c r="J242" s="89"/>
      <c r="K242" s="25"/>
      <c r="L242" s="25"/>
      <c r="M242" s="25"/>
    </row>
    <row r="243" spans="1:16" ht="21.75" hidden="1" customHeight="1" x14ac:dyDescent="0.25">
      <c r="A243" s="187"/>
      <c r="B243" s="213"/>
      <c r="C243" s="214"/>
      <c r="D243" s="540"/>
      <c r="E243" s="227"/>
      <c r="F243" s="226"/>
      <c r="G243" s="38"/>
      <c r="H243" s="39" t="e">
        <f>G243-#REF!</f>
        <v>#REF!</v>
      </c>
      <c r="I243" s="741" t="e">
        <f>H243/G243*100</f>
        <v>#REF!</v>
      </c>
      <c r="J243" s="89"/>
      <c r="K243" s="25"/>
      <c r="L243" s="25"/>
      <c r="M243" s="25"/>
    </row>
    <row r="244" spans="1:16" ht="21.75" hidden="1" customHeight="1" x14ac:dyDescent="0.25">
      <c r="A244" s="187"/>
      <c r="B244" s="213"/>
      <c r="C244" s="214"/>
      <c r="D244" s="540"/>
      <c r="E244" s="227"/>
      <c r="F244" s="226"/>
      <c r="G244" s="38"/>
      <c r="H244" s="39" t="e">
        <f>G244-#REF!</f>
        <v>#REF!</v>
      </c>
      <c r="I244" s="741" t="e">
        <f>H244/G244*100</f>
        <v>#REF!</v>
      </c>
      <c r="J244" s="89"/>
      <c r="K244" s="25"/>
      <c r="L244" s="25"/>
      <c r="M244" s="25"/>
    </row>
    <row r="245" spans="1:16" ht="21.75" hidden="1" customHeight="1" x14ac:dyDescent="0.25">
      <c r="A245" s="187"/>
      <c r="B245" s="213"/>
      <c r="C245" s="214"/>
      <c r="D245" s="581"/>
      <c r="E245" s="227"/>
      <c r="F245" s="226"/>
      <c r="G245" s="38"/>
      <c r="H245" s="39" t="e">
        <f>G245-#REF!</f>
        <v>#REF!</v>
      </c>
      <c r="I245" s="741" t="e">
        <f>H245/G245*100</f>
        <v>#REF!</v>
      </c>
      <c r="J245" s="89"/>
      <c r="K245" s="25"/>
      <c r="L245" s="25"/>
      <c r="M245" s="25"/>
    </row>
    <row r="246" spans="1:16" ht="21.75" hidden="1" customHeight="1" x14ac:dyDescent="0.25">
      <c r="A246" s="187"/>
      <c r="B246" s="213"/>
      <c r="C246" s="214"/>
      <c r="D246" s="540"/>
      <c r="E246" s="227"/>
      <c r="F246" s="226"/>
      <c r="G246" s="38"/>
      <c r="H246" s="39" t="e">
        <f>G246-#REF!</f>
        <v>#REF!</v>
      </c>
      <c r="I246" s="741" t="e">
        <f>H246/G246*100</f>
        <v>#REF!</v>
      </c>
      <c r="J246" s="89"/>
      <c r="K246" s="25"/>
      <c r="L246" s="25"/>
      <c r="M246" s="25"/>
    </row>
    <row r="247" spans="1:16" ht="21.75" hidden="1" customHeight="1" x14ac:dyDescent="0.25">
      <c r="A247" s="187"/>
      <c r="B247" s="213"/>
      <c r="C247" s="214"/>
      <c r="D247" s="540"/>
      <c r="E247" s="227"/>
      <c r="F247" s="226"/>
      <c r="G247" s="38"/>
      <c r="H247" s="39" t="e">
        <f>G247-#REF!</f>
        <v>#REF!</v>
      </c>
      <c r="I247" s="741" t="e">
        <f>H247/G247*100</f>
        <v>#REF!</v>
      </c>
      <c r="J247" s="89"/>
      <c r="K247" s="25"/>
      <c r="L247" s="25"/>
      <c r="M247" s="25"/>
    </row>
    <row r="248" spans="1:16" ht="21.75" hidden="1" customHeight="1" x14ac:dyDescent="0.25">
      <c r="A248" s="187"/>
      <c r="B248" s="213"/>
      <c r="C248" s="214"/>
      <c r="D248" s="540"/>
      <c r="E248" s="227"/>
      <c r="F248" s="226"/>
      <c r="G248" s="38"/>
      <c r="H248" s="39" t="e">
        <f>G248-#REF!</f>
        <v>#REF!</v>
      </c>
      <c r="I248" s="741" t="e">
        <f>H248/G248*100</f>
        <v>#REF!</v>
      </c>
      <c r="J248" s="89"/>
      <c r="K248" s="25"/>
      <c r="L248" s="25"/>
      <c r="M248" s="25"/>
    </row>
    <row r="249" spans="1:16" ht="21.75" hidden="1" customHeight="1" x14ac:dyDescent="0.3">
      <c r="A249" s="187"/>
      <c r="B249" s="213"/>
      <c r="C249" s="214"/>
      <c r="D249" s="593"/>
      <c r="E249" s="228"/>
      <c r="F249" s="223"/>
      <c r="G249" s="38"/>
      <c r="H249" s="39"/>
      <c r="I249" s="741" t="e">
        <f>H249/G249*100</f>
        <v>#DIV/0!</v>
      </c>
      <c r="J249" s="89"/>
      <c r="K249" s="25"/>
      <c r="L249" s="25"/>
      <c r="M249" s="25"/>
    </row>
    <row r="250" spans="1:16" ht="33" hidden="1" customHeight="1" x14ac:dyDescent="0.3">
      <c r="A250" s="185"/>
      <c r="B250" s="210"/>
      <c r="C250" s="219"/>
      <c r="D250" s="594" t="s">
        <v>16</v>
      </c>
      <c r="E250" s="229"/>
      <c r="F250" s="225">
        <f>F251</f>
        <v>0</v>
      </c>
      <c r="G250" s="46">
        <f>G251</f>
        <v>0</v>
      </c>
      <c r="H250" s="63" t="e">
        <f>G250-#REF!</f>
        <v>#REF!</v>
      </c>
      <c r="I250" s="741" t="e">
        <f>H250/G250*100</f>
        <v>#REF!</v>
      </c>
      <c r="J250" s="89"/>
      <c r="K250" s="25"/>
      <c r="L250" s="25"/>
      <c r="M250" s="25"/>
    </row>
    <row r="251" spans="1:16" ht="53.25" hidden="1" customHeight="1" x14ac:dyDescent="0.3">
      <c r="A251" s="187"/>
      <c r="B251" s="213"/>
      <c r="C251" s="214"/>
      <c r="D251" s="568"/>
      <c r="E251" s="228"/>
      <c r="F251" s="223"/>
      <c r="G251" s="38"/>
      <c r="H251" s="39" t="e">
        <f>G251-#REF!</f>
        <v>#REF!</v>
      </c>
      <c r="I251" s="741" t="e">
        <f>H251/G251*100</f>
        <v>#REF!</v>
      </c>
      <c r="J251" s="89"/>
      <c r="K251" s="25"/>
      <c r="L251" s="25"/>
      <c r="M251" s="25"/>
    </row>
    <row r="252" spans="1:16" ht="18" hidden="1" customHeight="1" x14ac:dyDescent="0.25">
      <c r="A252" s="187"/>
      <c r="B252" s="213"/>
      <c r="C252" s="214"/>
      <c r="D252" s="571"/>
      <c r="E252" s="230"/>
      <c r="F252" s="223"/>
      <c r="G252" s="38"/>
      <c r="H252" s="39"/>
      <c r="I252" s="741" t="e">
        <f>H252/G252*100</f>
        <v>#DIV/0!</v>
      </c>
      <c r="J252" s="89"/>
      <c r="K252" s="25"/>
      <c r="L252" s="25"/>
      <c r="M252" s="25"/>
    </row>
    <row r="253" spans="1:16" ht="17.25" customHeight="1" x14ac:dyDescent="0.25">
      <c r="A253" s="231" t="s">
        <v>64</v>
      </c>
      <c r="B253" s="204">
        <v>1021</v>
      </c>
      <c r="C253" s="216"/>
      <c r="D253" s="98"/>
      <c r="E253" s="99">
        <f>E254+E257</f>
        <v>4000000</v>
      </c>
      <c r="F253" s="99">
        <f>F254+F257+F267</f>
        <v>12393482</v>
      </c>
      <c r="G253" s="99">
        <f>G254+G257+G267</f>
        <v>4958153</v>
      </c>
      <c r="H253" s="99">
        <f>H257</f>
        <v>693481.2</v>
      </c>
      <c r="I253" s="745">
        <f>H253/G253*100</f>
        <v>13.986684154361512</v>
      </c>
      <c r="J253" s="100"/>
      <c r="K253" s="25"/>
      <c r="L253" s="25"/>
      <c r="M253" s="25"/>
    </row>
    <row r="254" spans="1:16" s="53" customFormat="1" ht="24" hidden="1" customHeight="1" x14ac:dyDescent="0.3">
      <c r="A254" s="185"/>
      <c r="B254" s="210"/>
      <c r="C254" s="219"/>
      <c r="D254" s="557" t="s">
        <v>13</v>
      </c>
      <c r="E254" s="46">
        <f t="shared" ref="E254:H254" si="51">SUM(E255:E256)</f>
        <v>0</v>
      </c>
      <c r="F254" s="46">
        <f t="shared" si="51"/>
        <v>0</v>
      </c>
      <c r="G254" s="46">
        <f t="shared" si="51"/>
        <v>0</v>
      </c>
      <c r="H254" s="46" t="e">
        <f t="shared" si="51"/>
        <v>#REF!</v>
      </c>
      <c r="I254" s="741" t="e">
        <f>H254/G254*100</f>
        <v>#REF!</v>
      </c>
      <c r="J254" s="47"/>
      <c r="K254" s="51"/>
      <c r="L254" s="51"/>
      <c r="M254" s="51"/>
      <c r="N254" s="52"/>
      <c r="O254" s="52"/>
      <c r="P254" s="52"/>
    </row>
    <row r="255" spans="1:16" s="235" customFormat="1" ht="24.75" hidden="1" customHeight="1" x14ac:dyDescent="0.25">
      <c r="A255" s="187"/>
      <c r="B255" s="177"/>
      <c r="C255" s="212"/>
      <c r="D255" s="586"/>
      <c r="E255" s="147"/>
      <c r="F255" s="147"/>
      <c r="G255" s="37"/>
      <c r="H255" s="501" t="e">
        <f>G255-#REF!</f>
        <v>#REF!</v>
      </c>
      <c r="I255" s="741" t="e">
        <f>H255/G255*100</f>
        <v>#REF!</v>
      </c>
      <c r="J255" s="89"/>
      <c r="K255" s="233"/>
      <c r="L255" s="233"/>
      <c r="M255" s="233"/>
      <c r="N255" s="234"/>
      <c r="O255" s="234"/>
      <c r="P255" s="234"/>
    </row>
    <row r="256" spans="1:16" s="235" customFormat="1" ht="14.25" hidden="1" customHeight="1" x14ac:dyDescent="0.25">
      <c r="A256" s="187"/>
      <c r="B256" s="177"/>
      <c r="C256" s="212"/>
      <c r="D256" s="587"/>
      <c r="E256" s="147"/>
      <c r="F256" s="37"/>
      <c r="G256" s="38"/>
      <c r="H256" s="39"/>
      <c r="I256" s="741" t="e">
        <f>H256/G256*100</f>
        <v>#DIV/0!</v>
      </c>
      <c r="J256" s="89"/>
      <c r="K256" s="233"/>
      <c r="L256" s="233"/>
      <c r="M256" s="233"/>
      <c r="N256" s="234"/>
      <c r="O256" s="234"/>
      <c r="P256" s="234"/>
    </row>
    <row r="257" spans="1:16" s="53" customFormat="1" ht="24.75" customHeight="1" x14ac:dyDescent="0.3">
      <c r="A257" s="185"/>
      <c r="B257" s="167"/>
      <c r="C257" s="211"/>
      <c r="D257" s="557" t="s">
        <v>15</v>
      </c>
      <c r="E257" s="46">
        <f>SUM(E258:E266)</f>
        <v>4000000</v>
      </c>
      <c r="F257" s="46">
        <f t="shared" ref="F257:H257" si="52">SUM(F258:F266)</f>
        <v>12393482</v>
      </c>
      <c r="G257" s="46">
        <f t="shared" si="52"/>
        <v>4958153</v>
      </c>
      <c r="H257" s="46">
        <f t="shared" si="52"/>
        <v>693481.2</v>
      </c>
      <c r="I257" s="744">
        <f>H257/G257*100</f>
        <v>13.986684154361512</v>
      </c>
      <c r="J257" s="47"/>
      <c r="K257" s="51"/>
      <c r="L257" s="51"/>
      <c r="M257" s="51"/>
      <c r="N257" s="52"/>
      <c r="O257" s="52"/>
      <c r="P257" s="52"/>
    </row>
    <row r="258" spans="1:16" s="684" customFormat="1" ht="56.25" customHeight="1" x14ac:dyDescent="0.25">
      <c r="A258" s="680"/>
      <c r="B258" s="681"/>
      <c r="C258" s="489"/>
      <c r="D258" s="686" t="s">
        <v>243</v>
      </c>
      <c r="E258" s="526"/>
      <c r="F258" s="526">
        <f>700000</f>
        <v>700000</v>
      </c>
      <c r="G258" s="526">
        <f>700000-700000</f>
        <v>0</v>
      </c>
      <c r="H258" s="39"/>
      <c r="I258" s="734"/>
      <c r="J258" s="47"/>
      <c r="K258" s="682"/>
      <c r="L258" s="682"/>
      <c r="M258" s="682"/>
      <c r="N258" s="683"/>
      <c r="O258" s="683"/>
      <c r="P258" s="683"/>
    </row>
    <row r="259" spans="1:16" s="53" customFormat="1" ht="76.5" customHeight="1" x14ac:dyDescent="0.25">
      <c r="A259" s="187"/>
      <c r="B259" s="177"/>
      <c r="C259" s="212"/>
      <c r="D259" s="595" t="s">
        <v>159</v>
      </c>
      <c r="E259" s="38">
        <f>4000000</f>
        <v>4000000</v>
      </c>
      <c r="F259" s="38">
        <f>4000000</f>
        <v>4000000</v>
      </c>
      <c r="G259" s="38">
        <f>1000000-1000000+1000000</f>
        <v>1000000</v>
      </c>
      <c r="H259" s="39"/>
      <c r="I259" s="734">
        <f>H259/G259*100</f>
        <v>0</v>
      </c>
      <c r="J259" s="89"/>
      <c r="K259" s="51"/>
      <c r="L259" s="51"/>
      <c r="M259" s="51"/>
      <c r="N259" s="52"/>
      <c r="O259" s="52"/>
      <c r="P259" s="52"/>
    </row>
    <row r="260" spans="1:16" s="141" customFormat="1" ht="67.5" customHeight="1" x14ac:dyDescent="0.25">
      <c r="A260" s="187"/>
      <c r="B260" s="177"/>
      <c r="C260" s="212"/>
      <c r="D260" s="596" t="s">
        <v>208</v>
      </c>
      <c r="E260" s="78"/>
      <c r="F260" s="38">
        <f>693482</f>
        <v>693482</v>
      </c>
      <c r="G260" s="38">
        <f>693482</f>
        <v>693482</v>
      </c>
      <c r="H260" s="38">
        <f>693482-0.8</f>
        <v>693481.2</v>
      </c>
      <c r="I260" s="734">
        <f>H260/G260*100</f>
        <v>99.999884640120428</v>
      </c>
      <c r="J260" s="89"/>
      <c r="K260" s="139"/>
      <c r="L260" s="139"/>
      <c r="M260" s="139"/>
      <c r="N260" s="140"/>
      <c r="O260" s="140"/>
      <c r="P260" s="140"/>
    </row>
    <row r="261" spans="1:16" s="141" customFormat="1" ht="82.5" customHeight="1" x14ac:dyDescent="0.25">
      <c r="A261" s="187"/>
      <c r="B261" s="177"/>
      <c r="C261" s="212"/>
      <c r="D261" s="514" t="s">
        <v>264</v>
      </c>
      <c r="E261" s="78"/>
      <c r="F261" s="38">
        <f>1000000</f>
        <v>1000000</v>
      </c>
      <c r="G261" s="38"/>
      <c r="H261" s="39"/>
      <c r="I261" s="734"/>
      <c r="J261" s="89"/>
      <c r="K261" s="139"/>
      <c r="L261" s="139"/>
      <c r="M261" s="139"/>
      <c r="N261" s="140"/>
      <c r="O261" s="140"/>
      <c r="P261" s="140"/>
    </row>
    <row r="262" spans="1:16" s="53" customFormat="1" ht="81.75" customHeight="1" x14ac:dyDescent="0.25">
      <c r="A262" s="187"/>
      <c r="B262" s="177"/>
      <c r="C262" s="212"/>
      <c r="D262" s="711" t="s">
        <v>265</v>
      </c>
      <c r="E262" s="147"/>
      <c r="F262" s="147">
        <f>1500000</f>
        <v>1500000</v>
      </c>
      <c r="G262" s="38">
        <f>550000-550000+950000</f>
        <v>950000</v>
      </c>
      <c r="H262" s="39"/>
      <c r="I262" s="734">
        <f>H262/G262*100</f>
        <v>0</v>
      </c>
      <c r="J262" s="89"/>
      <c r="K262" s="51"/>
      <c r="L262" s="51"/>
      <c r="M262" s="51"/>
      <c r="N262" s="52"/>
      <c r="O262" s="52"/>
      <c r="P262" s="52"/>
    </row>
    <row r="263" spans="1:16" s="53" customFormat="1" ht="65.25" customHeight="1" x14ac:dyDescent="0.25">
      <c r="A263" s="187"/>
      <c r="B263" s="177"/>
      <c r="C263" s="212"/>
      <c r="D263" s="711" t="s">
        <v>266</v>
      </c>
      <c r="E263" s="147"/>
      <c r="F263" s="147">
        <f>1500000</f>
        <v>1500000</v>
      </c>
      <c r="G263" s="38">
        <f>450000-450000+1050000</f>
        <v>1050000</v>
      </c>
      <c r="H263" s="39"/>
      <c r="I263" s="734">
        <f>H263/G263*100</f>
        <v>0</v>
      </c>
      <c r="J263" s="89"/>
      <c r="K263" s="51"/>
      <c r="L263" s="51"/>
      <c r="M263" s="51"/>
      <c r="N263" s="52"/>
      <c r="O263" s="52"/>
      <c r="P263" s="52"/>
    </row>
    <row r="264" spans="1:16" s="53" customFormat="1" ht="64.5" customHeight="1" x14ac:dyDescent="0.25">
      <c r="A264" s="187"/>
      <c r="B264" s="177"/>
      <c r="C264" s="212"/>
      <c r="D264" s="711" t="s">
        <v>267</v>
      </c>
      <c r="E264" s="147"/>
      <c r="F264" s="147">
        <f>1500000</f>
        <v>1500000</v>
      </c>
      <c r="G264" s="38">
        <f>300000+1000000-1000000-300000+200000</f>
        <v>200000</v>
      </c>
      <c r="H264" s="39"/>
      <c r="I264" s="734">
        <f>H264/G264*100</f>
        <v>0</v>
      </c>
      <c r="J264" s="89"/>
      <c r="K264" s="51"/>
      <c r="L264" s="51"/>
      <c r="M264" s="51"/>
      <c r="N264" s="52"/>
      <c r="O264" s="52"/>
      <c r="P264" s="52"/>
    </row>
    <row r="265" spans="1:16" ht="54" customHeight="1" x14ac:dyDescent="0.25">
      <c r="A265" s="187"/>
      <c r="B265" s="213"/>
      <c r="C265" s="212"/>
      <c r="D265" s="711" t="s">
        <v>268</v>
      </c>
      <c r="E265" s="147"/>
      <c r="F265" s="147">
        <f>1500000</f>
        <v>1500000</v>
      </c>
      <c r="G265" s="38">
        <f>64671+1000000</f>
        <v>1064671</v>
      </c>
      <c r="H265" s="39"/>
      <c r="I265" s="734">
        <f>H265/G265*100</f>
        <v>0</v>
      </c>
      <c r="J265" s="89"/>
      <c r="K265" s="25"/>
      <c r="L265" s="25"/>
      <c r="M265" s="25"/>
    </row>
    <row r="266" spans="1:16" ht="13.5" customHeight="1" x14ac:dyDescent="0.25">
      <c r="A266" s="187"/>
      <c r="B266" s="213"/>
      <c r="C266" s="212"/>
      <c r="D266" s="550"/>
      <c r="E266" s="147"/>
      <c r="F266" s="147"/>
      <c r="G266" s="38"/>
      <c r="H266" s="39"/>
      <c r="I266" s="734"/>
      <c r="J266" s="89"/>
      <c r="K266" s="25"/>
      <c r="L266" s="25"/>
      <c r="M266" s="25"/>
    </row>
    <row r="267" spans="1:16" ht="30" hidden="1" customHeight="1" x14ac:dyDescent="0.3">
      <c r="A267" s="185"/>
      <c r="B267" s="210"/>
      <c r="C267" s="219"/>
      <c r="D267" s="594" t="s">
        <v>16</v>
      </c>
      <c r="E267" s="236"/>
      <c r="F267" s="46">
        <f>F268</f>
        <v>0</v>
      </c>
      <c r="G267" s="46">
        <f>G268</f>
        <v>0</v>
      </c>
      <c r="H267" s="63" t="e">
        <f>G267-#REF!</f>
        <v>#REF!</v>
      </c>
      <c r="I267" s="734" t="e">
        <f>H267/G267*100</f>
        <v>#REF!</v>
      </c>
      <c r="J267" s="64"/>
      <c r="K267" s="25"/>
      <c r="L267" s="25"/>
      <c r="M267" s="25"/>
    </row>
    <row r="268" spans="1:16" ht="51.75" hidden="1" customHeight="1" x14ac:dyDescent="0.3">
      <c r="A268" s="187"/>
      <c r="B268" s="213"/>
      <c r="C268" s="214"/>
      <c r="D268" s="568"/>
      <c r="E268" s="237"/>
      <c r="F268" s="38"/>
      <c r="G268" s="38"/>
      <c r="H268" s="39" t="e">
        <f>G268-#REF!</f>
        <v>#REF!</v>
      </c>
      <c r="I268" s="734" t="e">
        <f>H268/G268*100</f>
        <v>#REF!</v>
      </c>
      <c r="J268" s="89"/>
      <c r="K268" s="25"/>
      <c r="L268" s="25"/>
      <c r="M268" s="25"/>
    </row>
    <row r="269" spans="1:16" ht="12" hidden="1" customHeight="1" x14ac:dyDescent="0.25">
      <c r="A269" s="187"/>
      <c r="B269" s="213"/>
      <c r="C269" s="214"/>
      <c r="D269" s="571"/>
      <c r="E269" s="40"/>
      <c r="F269" s="38"/>
      <c r="G269" s="38"/>
      <c r="H269" s="39"/>
      <c r="I269" s="734" t="e">
        <f>H269/G269*100</f>
        <v>#DIV/0!</v>
      </c>
      <c r="J269" s="89"/>
      <c r="K269" s="25"/>
      <c r="L269" s="25"/>
      <c r="M269" s="25"/>
    </row>
    <row r="270" spans="1:16" ht="33" hidden="1" customHeight="1" x14ac:dyDescent="0.25">
      <c r="A270" s="231" t="s">
        <v>65</v>
      </c>
      <c r="B270" s="204">
        <v>1070</v>
      </c>
      <c r="C270" s="216"/>
      <c r="D270" s="98"/>
      <c r="E270" s="217">
        <f t="shared" ref="E270:H270" si="53">E271+E274</f>
        <v>0</v>
      </c>
      <c r="F270" s="217">
        <f t="shared" si="53"/>
        <v>0</v>
      </c>
      <c r="G270" s="217">
        <f t="shared" si="53"/>
        <v>0</v>
      </c>
      <c r="H270" s="217" t="e">
        <f t="shared" si="53"/>
        <v>#REF!</v>
      </c>
      <c r="I270" s="734" t="e">
        <f>H270/G270*100</f>
        <v>#REF!</v>
      </c>
      <c r="J270" s="218"/>
      <c r="K270" s="25"/>
      <c r="L270" s="25"/>
      <c r="M270" s="25"/>
    </row>
    <row r="271" spans="1:16" ht="31.5" hidden="1" customHeight="1" x14ac:dyDescent="0.3">
      <c r="A271" s="185"/>
      <c r="B271" s="210"/>
      <c r="C271" s="219"/>
      <c r="D271" s="557" t="s">
        <v>13</v>
      </c>
      <c r="E271" s="220">
        <f t="shared" ref="E271:H271" si="54">SUM(E272)</f>
        <v>0</v>
      </c>
      <c r="F271" s="220">
        <f t="shared" si="54"/>
        <v>0</v>
      </c>
      <c r="G271" s="220">
        <f t="shared" si="54"/>
        <v>0</v>
      </c>
      <c r="H271" s="220" t="e">
        <f t="shared" si="54"/>
        <v>#REF!</v>
      </c>
      <c r="I271" s="734" t="e">
        <f>H271/G271*100</f>
        <v>#REF!</v>
      </c>
      <c r="J271" s="221"/>
      <c r="K271" s="25"/>
      <c r="L271" s="25"/>
      <c r="M271" s="25"/>
    </row>
    <row r="272" spans="1:16" ht="21" hidden="1" customHeight="1" x14ac:dyDescent="0.25">
      <c r="A272" s="187"/>
      <c r="B272" s="213"/>
      <c r="C272" s="238"/>
      <c r="D272" s="597"/>
      <c r="E272" s="191"/>
      <c r="F272" s="191"/>
      <c r="G272" s="191"/>
      <c r="H272" s="239" t="e">
        <f>G272-#REF!</f>
        <v>#REF!</v>
      </c>
      <c r="I272" s="734" t="e">
        <f>H272/G272*100</f>
        <v>#REF!</v>
      </c>
      <c r="J272" s="221"/>
      <c r="K272" s="25"/>
      <c r="L272" s="25"/>
      <c r="M272" s="25"/>
    </row>
    <row r="273" spans="1:13" ht="15.75" hidden="1" customHeight="1" x14ac:dyDescent="0.25">
      <c r="A273" s="187"/>
      <c r="B273" s="213"/>
      <c r="C273" s="238"/>
      <c r="D273" s="443"/>
      <c r="E273" s="191"/>
      <c r="F273" s="239"/>
      <c r="G273" s="239"/>
      <c r="H273" s="239"/>
      <c r="I273" s="734" t="e">
        <f>H273/G273*100</f>
        <v>#DIV/0!</v>
      </c>
      <c r="J273" s="221"/>
      <c r="K273" s="25"/>
      <c r="L273" s="25"/>
      <c r="M273" s="25"/>
    </row>
    <row r="274" spans="1:13" ht="31.5" hidden="1" customHeight="1" x14ac:dyDescent="0.3">
      <c r="A274" s="185"/>
      <c r="B274" s="210"/>
      <c r="C274" s="219"/>
      <c r="D274" s="557" t="s">
        <v>15</v>
      </c>
      <c r="E274" s="220">
        <f t="shared" ref="E274:H274" si="55">SUM(E275:E276)</f>
        <v>0</v>
      </c>
      <c r="F274" s="220">
        <f t="shared" si="55"/>
        <v>0</v>
      </c>
      <c r="G274" s="220">
        <f t="shared" si="55"/>
        <v>0</v>
      </c>
      <c r="H274" s="220" t="e">
        <f t="shared" si="55"/>
        <v>#REF!</v>
      </c>
      <c r="I274" s="734" t="e">
        <f>H274/G274*100</f>
        <v>#REF!</v>
      </c>
      <c r="J274" s="221"/>
      <c r="K274" s="25"/>
      <c r="L274" s="25"/>
      <c r="M274" s="25"/>
    </row>
    <row r="275" spans="1:13" ht="20.25" hidden="1" customHeight="1" x14ac:dyDescent="0.25">
      <c r="A275" s="187"/>
      <c r="B275" s="188"/>
      <c r="C275" s="212"/>
      <c r="D275" s="598"/>
      <c r="E275" s="147"/>
      <c r="F275" s="147"/>
      <c r="G275" s="38"/>
      <c r="H275" s="39" t="e">
        <f>G275-#REF!</f>
        <v>#REF!</v>
      </c>
      <c r="I275" s="734" t="e">
        <f>H275/G275*100</f>
        <v>#REF!</v>
      </c>
      <c r="J275" s="89"/>
      <c r="K275" s="25"/>
      <c r="L275" s="25"/>
      <c r="M275" s="25"/>
    </row>
    <row r="276" spans="1:13" ht="24" hidden="1" customHeight="1" x14ac:dyDescent="0.25">
      <c r="A276" s="187"/>
      <c r="B276" s="188"/>
      <c r="C276" s="212"/>
      <c r="D276" s="598"/>
      <c r="E276" s="147"/>
      <c r="F276" s="147"/>
      <c r="G276" s="38"/>
      <c r="H276" s="39" t="e">
        <f>G276-#REF!</f>
        <v>#REF!</v>
      </c>
      <c r="I276" s="734" t="e">
        <f>H276/G276*100</f>
        <v>#REF!</v>
      </c>
      <c r="J276" s="89"/>
      <c r="K276" s="25"/>
      <c r="L276" s="25"/>
      <c r="M276" s="25"/>
    </row>
    <row r="277" spans="1:13" ht="15.75" hidden="1" customHeight="1" x14ac:dyDescent="0.25">
      <c r="A277" s="187"/>
      <c r="B277" s="188"/>
      <c r="C277" s="212"/>
      <c r="D277" s="566"/>
      <c r="E277" s="191"/>
      <c r="F277" s="191"/>
      <c r="G277" s="38"/>
      <c r="H277" s="39"/>
      <c r="I277" s="734" t="e">
        <f>H277/G277*100</f>
        <v>#DIV/0!</v>
      </c>
      <c r="J277" s="89"/>
      <c r="K277" s="25"/>
      <c r="L277" s="25"/>
      <c r="M277" s="25"/>
    </row>
    <row r="278" spans="1:13" ht="30.75" hidden="1" customHeight="1" x14ac:dyDescent="0.25">
      <c r="A278" s="231" t="s">
        <v>66</v>
      </c>
      <c r="B278" s="204">
        <v>1160</v>
      </c>
      <c r="C278" s="216"/>
      <c r="D278" s="98"/>
      <c r="E278" s="217">
        <f t="shared" ref="E278:H278" si="56">E279</f>
        <v>0</v>
      </c>
      <c r="F278" s="217">
        <f t="shared" si="56"/>
        <v>0</v>
      </c>
      <c r="G278" s="217">
        <f t="shared" si="56"/>
        <v>0</v>
      </c>
      <c r="H278" s="217" t="e">
        <f t="shared" si="56"/>
        <v>#REF!</v>
      </c>
      <c r="I278" s="734" t="e">
        <f>H278/G278*100</f>
        <v>#REF!</v>
      </c>
      <c r="J278" s="218"/>
      <c r="K278" s="25"/>
      <c r="L278" s="25"/>
      <c r="M278" s="25"/>
    </row>
    <row r="279" spans="1:13" ht="25.5" hidden="1" customHeight="1" x14ac:dyDescent="0.3">
      <c r="A279" s="185"/>
      <c r="B279" s="210"/>
      <c r="C279" s="219"/>
      <c r="D279" s="557" t="s">
        <v>15</v>
      </c>
      <c r="E279" s="220">
        <f t="shared" ref="E279:H279" si="57">SUM(E280:E281)</f>
        <v>0</v>
      </c>
      <c r="F279" s="220">
        <f>SUM(F280:F281)</f>
        <v>0</v>
      </c>
      <c r="G279" s="220">
        <f t="shared" si="57"/>
        <v>0</v>
      </c>
      <c r="H279" s="220" t="e">
        <f t="shared" si="57"/>
        <v>#REF!</v>
      </c>
      <c r="I279" s="734" t="e">
        <f>H279/G279*100</f>
        <v>#REF!</v>
      </c>
      <c r="J279" s="221"/>
      <c r="K279" s="25"/>
      <c r="L279" s="25"/>
      <c r="M279" s="25"/>
    </row>
    <row r="280" spans="1:13" ht="23.25" hidden="1" customHeight="1" x14ac:dyDescent="0.25">
      <c r="A280" s="187"/>
      <c r="B280" s="188"/>
      <c r="C280" s="212"/>
      <c r="D280" s="598"/>
      <c r="E280" s="147"/>
      <c r="F280" s="147"/>
      <c r="G280" s="38"/>
      <c r="H280" s="39" t="e">
        <f>G280-#REF!</f>
        <v>#REF!</v>
      </c>
      <c r="I280" s="734" t="e">
        <f>H280/G280*100</f>
        <v>#REF!</v>
      </c>
      <c r="J280" s="89"/>
      <c r="K280" s="25"/>
      <c r="L280" s="25"/>
      <c r="M280" s="25"/>
    </row>
    <row r="281" spans="1:13" ht="15" hidden="1" customHeight="1" x14ac:dyDescent="0.25">
      <c r="A281" s="187"/>
      <c r="B281" s="212"/>
      <c r="C281" s="212"/>
      <c r="D281" s="571"/>
      <c r="E281" s="118"/>
      <c r="F281" s="191"/>
      <c r="G281" s="38"/>
      <c r="H281" s="39"/>
      <c r="I281" s="734" t="e">
        <f>H281/G281*100</f>
        <v>#DIV/0!</v>
      </c>
      <c r="J281" s="64"/>
      <c r="K281" s="25"/>
      <c r="L281" s="25"/>
      <c r="M281" s="25"/>
    </row>
    <row r="282" spans="1:13" ht="12.75" hidden="1" customHeight="1" x14ac:dyDescent="0.25">
      <c r="A282" s="187"/>
      <c r="B282" s="212"/>
      <c r="C282" s="212"/>
      <c r="D282" s="571"/>
      <c r="E282" s="118"/>
      <c r="F282" s="191"/>
      <c r="G282" s="38"/>
      <c r="H282" s="39"/>
      <c r="I282" s="734" t="e">
        <f>H282/G282*100</f>
        <v>#DIV/0!</v>
      </c>
      <c r="J282" s="64"/>
      <c r="K282" s="25"/>
      <c r="L282" s="25"/>
      <c r="M282" s="25"/>
    </row>
    <row r="283" spans="1:13" ht="24" customHeight="1" x14ac:dyDescent="0.3">
      <c r="A283" s="86" t="s">
        <v>269</v>
      </c>
      <c r="B283" s="120">
        <v>7321</v>
      </c>
      <c r="C283" s="121"/>
      <c r="D283" s="558"/>
      <c r="E283" s="142">
        <f t="shared" ref="E283:G283" si="58">E284+E291</f>
        <v>0</v>
      </c>
      <c r="F283" s="122">
        <f t="shared" si="58"/>
        <v>5200000</v>
      </c>
      <c r="G283" s="122">
        <f t="shared" si="58"/>
        <v>250000</v>
      </c>
      <c r="H283" s="122">
        <f>H284</f>
        <v>0</v>
      </c>
      <c r="I283" s="745">
        <f>H283/G283*100</f>
        <v>0</v>
      </c>
      <c r="J283" s="123"/>
      <c r="K283" s="25"/>
      <c r="L283" s="25"/>
      <c r="M283" s="25"/>
    </row>
    <row r="284" spans="1:13" ht="21" customHeight="1" x14ac:dyDescent="0.3">
      <c r="A284" s="124"/>
      <c r="B284" s="125"/>
      <c r="C284" s="126"/>
      <c r="D284" s="557" t="s">
        <v>14</v>
      </c>
      <c r="E284" s="48">
        <f>SUM(E285:E287)</f>
        <v>0</v>
      </c>
      <c r="F284" s="48">
        <f>SUM(F285:F287)</f>
        <v>5200000</v>
      </c>
      <c r="G284" s="48">
        <f t="shared" ref="G284:H284" si="59">SUM(G285:G287)</f>
        <v>250000</v>
      </c>
      <c r="H284" s="48">
        <f t="shared" si="59"/>
        <v>0</v>
      </c>
      <c r="I284" s="744">
        <f>H284/G284*100</f>
        <v>0</v>
      </c>
      <c r="J284" s="123"/>
      <c r="K284" s="25"/>
      <c r="L284" s="25"/>
      <c r="M284" s="25"/>
    </row>
    <row r="285" spans="1:13" ht="67.5" customHeight="1" x14ac:dyDescent="0.25">
      <c r="A285" s="689"/>
      <c r="B285" s="690"/>
      <c r="C285" s="690"/>
      <c r="D285" s="712" t="s">
        <v>270</v>
      </c>
      <c r="E285" s="118"/>
      <c r="F285" s="191">
        <f>1500000</f>
        <v>1500000</v>
      </c>
      <c r="G285" s="692"/>
      <c r="H285" s="693"/>
      <c r="I285" s="734"/>
      <c r="J285" s="694"/>
      <c r="K285" s="25"/>
      <c r="L285" s="25"/>
      <c r="M285" s="25"/>
    </row>
    <row r="286" spans="1:13" ht="65.25" customHeight="1" x14ac:dyDescent="0.25">
      <c r="A286" s="689"/>
      <c r="B286" s="690"/>
      <c r="C286" s="690"/>
      <c r="D286" s="712" t="s">
        <v>271</v>
      </c>
      <c r="E286" s="118"/>
      <c r="F286" s="191">
        <f>1500000</f>
        <v>1500000</v>
      </c>
      <c r="G286" s="692"/>
      <c r="H286" s="693"/>
      <c r="I286" s="734"/>
      <c r="J286" s="694"/>
      <c r="K286" s="25"/>
      <c r="L286" s="25"/>
      <c r="M286" s="25"/>
    </row>
    <row r="287" spans="1:13" ht="83.25" customHeight="1" x14ac:dyDescent="0.25">
      <c r="A287" s="689"/>
      <c r="B287" s="690"/>
      <c r="C287" s="690"/>
      <c r="D287" s="713" t="s">
        <v>272</v>
      </c>
      <c r="E287" s="118"/>
      <c r="F287" s="191">
        <f>2200000</f>
        <v>2200000</v>
      </c>
      <c r="G287" s="692">
        <f>700000-450000</f>
        <v>250000</v>
      </c>
      <c r="H287" s="693"/>
      <c r="I287" s="734">
        <f>H287/G287*100</f>
        <v>0</v>
      </c>
      <c r="J287" s="694"/>
      <c r="K287" s="25"/>
      <c r="L287" s="25"/>
      <c r="M287" s="25"/>
    </row>
    <row r="288" spans="1:13" ht="7.5" customHeight="1" x14ac:dyDescent="0.25">
      <c r="A288" s="689"/>
      <c r="B288" s="690"/>
      <c r="C288" s="690"/>
      <c r="D288" s="691"/>
      <c r="E288" s="118"/>
      <c r="F288" s="191"/>
      <c r="G288" s="692"/>
      <c r="H288" s="693"/>
      <c r="I288" s="734"/>
      <c r="J288" s="694"/>
      <c r="K288" s="25"/>
      <c r="L288" s="25"/>
      <c r="M288" s="25"/>
    </row>
    <row r="289" spans="1:16" ht="17.25" customHeight="1" x14ac:dyDescent="0.25">
      <c r="A289" s="240" t="s">
        <v>67</v>
      </c>
      <c r="B289" s="241"/>
      <c r="C289" s="242"/>
      <c r="D289" s="243" t="s">
        <v>68</v>
      </c>
      <c r="E289" s="244">
        <f>E294+E290+E298+E305+E310</f>
        <v>2500000</v>
      </c>
      <c r="F289" s="244">
        <f>F294+F290+F298+F305+F310</f>
        <v>1950000</v>
      </c>
      <c r="G289" s="244">
        <f t="shared" ref="G289" si="60">G294+G290+G298+G305+G310</f>
        <v>1850000</v>
      </c>
      <c r="H289" s="244">
        <f>H294+H305+H310</f>
        <v>0</v>
      </c>
      <c r="I289" s="244">
        <f>I294+I305+I310</f>
        <v>0</v>
      </c>
      <c r="J289" s="694"/>
      <c r="K289" s="24"/>
      <c r="L289" s="24"/>
      <c r="M289" s="25"/>
    </row>
    <row r="290" spans="1:16" ht="17.25" hidden="1" customHeight="1" x14ac:dyDescent="0.25">
      <c r="A290" s="245" t="s">
        <v>69</v>
      </c>
      <c r="B290" s="205" t="s">
        <v>61</v>
      </c>
      <c r="C290" s="206"/>
      <c r="D290" s="207"/>
      <c r="E290" s="27">
        <f t="shared" ref="E290:H290" si="61">E291</f>
        <v>0</v>
      </c>
      <c r="F290" s="208">
        <f t="shared" si="61"/>
        <v>0</v>
      </c>
      <c r="G290" s="208">
        <f t="shared" si="61"/>
        <v>0</v>
      </c>
      <c r="H290" s="208" t="e">
        <f t="shared" si="61"/>
        <v>#REF!</v>
      </c>
      <c r="I290" s="741" t="e">
        <f>H290/G290*100</f>
        <v>#REF!</v>
      </c>
      <c r="J290" s="694"/>
      <c r="K290" s="25"/>
      <c r="L290" s="25"/>
      <c r="M290" s="25"/>
    </row>
    <row r="291" spans="1:16" ht="17.25" hidden="1" customHeight="1" x14ac:dyDescent="0.3">
      <c r="A291" s="210"/>
      <c r="B291" s="167"/>
      <c r="C291" s="211"/>
      <c r="D291" s="557" t="s">
        <v>13</v>
      </c>
      <c r="E291" s="106">
        <f t="shared" ref="E291:H291" si="62">SUM(E292)</f>
        <v>0</v>
      </c>
      <c r="F291" s="63">
        <f t="shared" si="62"/>
        <v>0</v>
      </c>
      <c r="G291" s="63">
        <f t="shared" si="62"/>
        <v>0</v>
      </c>
      <c r="H291" s="63" t="e">
        <f t="shared" si="62"/>
        <v>#REF!</v>
      </c>
      <c r="I291" s="741" t="e">
        <f>H291/G291*100</f>
        <v>#REF!</v>
      </c>
      <c r="J291" s="694"/>
      <c r="K291" s="25"/>
      <c r="L291" s="25"/>
      <c r="M291" s="25"/>
    </row>
    <row r="292" spans="1:16" ht="17.25" hidden="1" customHeight="1" x14ac:dyDescent="0.25">
      <c r="A292" s="187"/>
      <c r="B292" s="188"/>
      <c r="C292" s="212"/>
      <c r="D292" s="540"/>
      <c r="E292" s="191"/>
      <c r="F292" s="37"/>
      <c r="G292" s="38"/>
      <c r="H292" s="39" t="e">
        <f>G292-#REF!</f>
        <v>#REF!</v>
      </c>
      <c r="I292" s="741" t="e">
        <f>H292/G292*100</f>
        <v>#REF!</v>
      </c>
      <c r="J292" s="694"/>
      <c r="K292" s="25"/>
      <c r="L292" s="25"/>
      <c r="M292" s="25"/>
    </row>
    <row r="293" spans="1:16" ht="17.25" hidden="1" customHeight="1" x14ac:dyDescent="0.3">
      <c r="A293" s="187"/>
      <c r="B293" s="188"/>
      <c r="C293" s="212"/>
      <c r="D293" s="599"/>
      <c r="E293" s="37"/>
      <c r="F293" s="37"/>
      <c r="G293" s="38"/>
      <c r="H293" s="39"/>
      <c r="I293" s="741" t="e">
        <f>H293/G293*100</f>
        <v>#DIV/0!</v>
      </c>
      <c r="J293" s="694"/>
      <c r="K293" s="25"/>
      <c r="L293" s="25"/>
      <c r="M293" s="25"/>
    </row>
    <row r="294" spans="1:16" ht="17.25" customHeight="1" x14ac:dyDescent="0.25">
      <c r="A294" s="231" t="s">
        <v>70</v>
      </c>
      <c r="B294" s="175">
        <v>3124</v>
      </c>
      <c r="C294" s="206"/>
      <c r="D294" s="98"/>
      <c r="E294" s="70">
        <f t="shared" ref="E294:H295" si="63">E295</f>
        <v>1000000</v>
      </c>
      <c r="F294" s="70">
        <f t="shared" si="63"/>
        <v>0</v>
      </c>
      <c r="G294" s="70">
        <f t="shared" si="63"/>
        <v>0</v>
      </c>
      <c r="H294" s="70">
        <f t="shared" si="63"/>
        <v>0</v>
      </c>
      <c r="I294" s="745"/>
      <c r="J294" s="47"/>
      <c r="K294" s="24"/>
      <c r="L294" s="24"/>
      <c r="M294" s="25"/>
    </row>
    <row r="295" spans="1:16" ht="17.25" customHeight="1" x14ac:dyDescent="0.3">
      <c r="A295" s="210"/>
      <c r="B295" s="167"/>
      <c r="C295" s="211"/>
      <c r="D295" s="557" t="s">
        <v>15</v>
      </c>
      <c r="E295" s="106">
        <f t="shared" si="63"/>
        <v>1000000</v>
      </c>
      <c r="F295" s="106">
        <f t="shared" si="63"/>
        <v>0</v>
      </c>
      <c r="G295" s="106">
        <f t="shared" si="63"/>
        <v>0</v>
      </c>
      <c r="H295" s="106">
        <f t="shared" si="63"/>
        <v>0</v>
      </c>
      <c r="I295" s="746"/>
      <c r="J295" s="107"/>
      <c r="K295" s="25"/>
      <c r="L295" s="25"/>
      <c r="M295" s="25"/>
    </row>
    <row r="296" spans="1:16" ht="96.75" customHeight="1" x14ac:dyDescent="0.25">
      <c r="A296" s="187"/>
      <c r="B296" s="188"/>
      <c r="C296" s="212"/>
      <c r="D296" s="600" t="s">
        <v>160</v>
      </c>
      <c r="E296" s="37">
        <f>1000000</f>
        <v>1000000</v>
      </c>
      <c r="F296" s="37">
        <f>1000000-1000000</f>
        <v>0</v>
      </c>
      <c r="G296" s="38"/>
      <c r="H296" s="39"/>
      <c r="I296" s="734"/>
      <c r="J296" s="89"/>
      <c r="K296" s="25"/>
      <c r="L296" s="25"/>
      <c r="M296" s="25"/>
    </row>
    <row r="297" spans="1:16" ht="12" customHeight="1" x14ac:dyDescent="0.3">
      <c r="A297" s="187"/>
      <c r="B297" s="188"/>
      <c r="C297" s="212"/>
      <c r="D297" s="599"/>
      <c r="E297" s="37"/>
      <c r="F297" s="37"/>
      <c r="G297" s="38"/>
      <c r="H297" s="39"/>
      <c r="I297" s="734"/>
      <c r="J297" s="89"/>
      <c r="K297" s="25"/>
      <c r="L297" s="25"/>
      <c r="M297" s="25"/>
    </row>
    <row r="298" spans="1:16" s="249" customFormat="1" ht="32.25" hidden="1" customHeight="1" x14ac:dyDescent="0.25">
      <c r="A298" s="206" t="s">
        <v>71</v>
      </c>
      <c r="B298" s="175">
        <v>3105</v>
      </c>
      <c r="C298" s="206"/>
      <c r="D298" s="98"/>
      <c r="E298" s="70">
        <f t="shared" ref="E298:H298" si="64">E299+E302</f>
        <v>0</v>
      </c>
      <c r="F298" s="70">
        <f t="shared" si="64"/>
        <v>0</v>
      </c>
      <c r="G298" s="70">
        <f t="shared" si="64"/>
        <v>0</v>
      </c>
      <c r="H298" s="70" t="e">
        <f t="shared" si="64"/>
        <v>#REF!</v>
      </c>
      <c r="I298" s="734" t="e">
        <f>H298/G298*100</f>
        <v>#REF!</v>
      </c>
      <c r="J298" s="47"/>
      <c r="K298" s="247"/>
      <c r="L298" s="247"/>
      <c r="M298" s="247"/>
      <c r="N298" s="248"/>
      <c r="O298" s="248"/>
      <c r="P298" s="248"/>
    </row>
    <row r="299" spans="1:16" s="249" customFormat="1" ht="24.75" hidden="1" customHeight="1" x14ac:dyDescent="0.3">
      <c r="A299" s="210"/>
      <c r="B299" s="167"/>
      <c r="C299" s="211"/>
      <c r="D299" s="557" t="s">
        <v>13</v>
      </c>
      <c r="E299" s="106">
        <f t="shared" ref="E299:H299" si="65">E300</f>
        <v>0</v>
      </c>
      <c r="F299" s="63">
        <f t="shared" si="65"/>
        <v>0</v>
      </c>
      <c r="G299" s="106">
        <f t="shared" si="65"/>
        <v>0</v>
      </c>
      <c r="H299" s="106" t="e">
        <f t="shared" si="65"/>
        <v>#REF!</v>
      </c>
      <c r="I299" s="734" t="e">
        <f>H299/G299*100</f>
        <v>#REF!</v>
      </c>
      <c r="J299" s="107"/>
      <c r="K299" s="247"/>
      <c r="L299" s="247"/>
      <c r="M299" s="247"/>
      <c r="N299" s="248"/>
      <c r="O299" s="248"/>
      <c r="P299" s="248"/>
    </row>
    <row r="300" spans="1:16" s="249" customFormat="1" ht="23.25" hidden="1" customHeight="1" x14ac:dyDescent="0.25">
      <c r="A300" s="187"/>
      <c r="B300" s="188"/>
      <c r="C300" s="212"/>
      <c r="D300" s="540"/>
      <c r="E300" s="38"/>
      <c r="F300" s="37"/>
      <c r="G300" s="38"/>
      <c r="H300" s="39" t="e">
        <f>G300-#REF!</f>
        <v>#REF!</v>
      </c>
      <c r="I300" s="734" t="e">
        <f>H300/G300*100</f>
        <v>#REF!</v>
      </c>
      <c r="J300" s="89"/>
      <c r="K300" s="247"/>
      <c r="L300" s="247"/>
      <c r="M300" s="247"/>
      <c r="N300" s="248"/>
      <c r="O300" s="248"/>
      <c r="P300" s="248"/>
    </row>
    <row r="301" spans="1:16" s="249" customFormat="1" ht="13.5" hidden="1" customHeight="1" x14ac:dyDescent="0.3">
      <c r="A301" s="187"/>
      <c r="B301" s="188"/>
      <c r="C301" s="212"/>
      <c r="D301" s="599"/>
      <c r="E301" s="37"/>
      <c r="F301" s="37" t="s">
        <v>72</v>
      </c>
      <c r="G301" s="38"/>
      <c r="H301" s="39"/>
      <c r="I301" s="734" t="e">
        <f>H301/G301*100</f>
        <v>#DIV/0!</v>
      </c>
      <c r="J301" s="89"/>
      <c r="K301" s="247"/>
      <c r="L301" s="247"/>
      <c r="M301" s="247"/>
      <c r="N301" s="248"/>
      <c r="O301" s="248"/>
      <c r="P301" s="248"/>
    </row>
    <row r="302" spans="1:16" s="249" customFormat="1" ht="21.75" hidden="1" customHeight="1" x14ac:dyDescent="0.3">
      <c r="A302" s="210"/>
      <c r="B302" s="167"/>
      <c r="C302" s="211"/>
      <c r="D302" s="557" t="s">
        <v>15</v>
      </c>
      <c r="E302" s="106">
        <f t="shared" ref="E302:H302" si="66">E303</f>
        <v>0</v>
      </c>
      <c r="F302" s="63">
        <f t="shared" si="66"/>
        <v>0</v>
      </c>
      <c r="G302" s="106">
        <f t="shared" si="66"/>
        <v>0</v>
      </c>
      <c r="H302" s="106" t="e">
        <f t="shared" si="66"/>
        <v>#REF!</v>
      </c>
      <c r="I302" s="734" t="e">
        <f>H302/G302*100</f>
        <v>#REF!</v>
      </c>
      <c r="J302" s="107"/>
      <c r="K302" s="247"/>
      <c r="L302" s="247"/>
      <c r="M302" s="247"/>
      <c r="N302" s="248"/>
      <c r="O302" s="248"/>
      <c r="P302" s="248"/>
    </row>
    <row r="303" spans="1:16" s="249" customFormat="1" ht="25.5" hidden="1" customHeight="1" x14ac:dyDescent="0.25">
      <c r="A303" s="187"/>
      <c r="B303" s="187"/>
      <c r="C303" s="212"/>
      <c r="D303" s="549"/>
      <c r="E303" s="37"/>
      <c r="F303" s="37"/>
      <c r="G303" s="38"/>
      <c r="H303" s="39" t="e">
        <f>G303-#REF!</f>
        <v>#REF!</v>
      </c>
      <c r="I303" s="734" t="e">
        <f>H303/G303*100</f>
        <v>#REF!</v>
      </c>
      <c r="J303" s="89"/>
      <c r="K303" s="247"/>
      <c r="L303" s="247"/>
      <c r="M303" s="247"/>
      <c r="N303" s="248"/>
      <c r="O303" s="248"/>
      <c r="P303" s="248"/>
    </row>
    <row r="304" spans="1:16" s="249" customFormat="1" ht="25.5" hidden="1" customHeight="1" x14ac:dyDescent="0.25">
      <c r="A304" s="187"/>
      <c r="B304" s="187"/>
      <c r="C304" s="212"/>
      <c r="D304" s="549"/>
      <c r="E304" s="37"/>
      <c r="F304" s="37"/>
      <c r="G304" s="38"/>
      <c r="H304" s="39"/>
      <c r="I304" s="734" t="e">
        <f>H304/G304*100</f>
        <v>#DIV/0!</v>
      </c>
      <c r="J304" s="89"/>
      <c r="K304" s="247"/>
      <c r="L304" s="247"/>
      <c r="M304" s="247"/>
      <c r="N304" s="248"/>
      <c r="O304" s="248"/>
      <c r="P304" s="248"/>
    </row>
    <row r="305" spans="1:16" s="249" customFormat="1" ht="21" customHeight="1" x14ac:dyDescent="0.25">
      <c r="A305" s="231" t="s">
        <v>73</v>
      </c>
      <c r="B305" s="175">
        <v>3230</v>
      </c>
      <c r="C305" s="206"/>
      <c r="D305" s="98"/>
      <c r="E305" s="70">
        <f t="shared" ref="E305:H305" si="67">E306</f>
        <v>1500000</v>
      </c>
      <c r="F305" s="70">
        <f t="shared" si="67"/>
        <v>500000</v>
      </c>
      <c r="G305" s="70">
        <f t="shared" si="67"/>
        <v>500000</v>
      </c>
      <c r="H305" s="70">
        <f t="shared" si="67"/>
        <v>0</v>
      </c>
      <c r="I305" s="745">
        <f>H305/G305*100</f>
        <v>0</v>
      </c>
      <c r="J305" s="47"/>
      <c r="K305" s="247"/>
      <c r="L305" s="247"/>
      <c r="M305" s="247"/>
      <c r="N305" s="248"/>
      <c r="O305" s="248"/>
      <c r="P305" s="248"/>
    </row>
    <row r="306" spans="1:16" s="249" customFormat="1" ht="20.25" customHeight="1" x14ac:dyDescent="0.3">
      <c r="A306" s="210"/>
      <c r="B306" s="167"/>
      <c r="C306" s="211"/>
      <c r="D306" s="557" t="s">
        <v>16</v>
      </c>
      <c r="E306" s="106">
        <f>SUM(E307:E308)</f>
        <v>1500000</v>
      </c>
      <c r="F306" s="106">
        <f t="shared" ref="F306" si="68">SUM(F307:F308)</f>
        <v>500000</v>
      </c>
      <c r="G306" s="106">
        <f t="shared" ref="G306" si="69">SUM(G307:G308)</f>
        <v>500000</v>
      </c>
      <c r="H306" s="106">
        <f t="shared" ref="H306" si="70">SUM(H307:H308)</f>
        <v>0</v>
      </c>
      <c r="I306" s="744">
        <f>H306/G306*100</f>
        <v>0</v>
      </c>
      <c r="J306" s="107"/>
      <c r="K306" s="247"/>
      <c r="L306" s="247"/>
      <c r="M306" s="247"/>
      <c r="N306" s="248"/>
      <c r="O306" s="248"/>
      <c r="P306" s="248"/>
    </row>
    <row r="307" spans="1:16" s="249" customFormat="1" ht="93" customHeight="1" x14ac:dyDescent="0.25">
      <c r="A307" s="187"/>
      <c r="B307" s="188"/>
      <c r="C307" s="212"/>
      <c r="D307" s="600" t="s">
        <v>161</v>
      </c>
      <c r="E307" s="38">
        <f>1000000</f>
        <v>1000000</v>
      </c>
      <c r="F307" s="38">
        <f>1000000-1000000</f>
        <v>0</v>
      </c>
      <c r="G307" s="38"/>
      <c r="H307" s="39"/>
      <c r="I307" s="734"/>
      <c r="J307" s="89"/>
      <c r="K307" s="247"/>
      <c r="L307" s="247"/>
      <c r="M307" s="247"/>
      <c r="N307" s="248"/>
      <c r="O307" s="248"/>
      <c r="P307" s="248"/>
    </row>
    <row r="308" spans="1:16" ht="72.75" customHeight="1" x14ac:dyDescent="0.25">
      <c r="A308" s="187"/>
      <c r="B308" s="212"/>
      <c r="C308" s="212"/>
      <c r="D308" s="600" t="s">
        <v>162</v>
      </c>
      <c r="E308" s="226">
        <f>500000</f>
        <v>500000</v>
      </c>
      <c r="F308" s="226">
        <f>500000</f>
        <v>500000</v>
      </c>
      <c r="G308" s="38">
        <f>500000</f>
        <v>500000</v>
      </c>
      <c r="H308" s="39"/>
      <c r="I308" s="734">
        <f>H308/G308*100</f>
        <v>0</v>
      </c>
      <c r="J308" s="64"/>
      <c r="K308" s="25"/>
      <c r="L308" s="25"/>
      <c r="M308" s="25"/>
    </row>
    <row r="309" spans="1:16" ht="15.75" customHeight="1" x14ac:dyDescent="0.25">
      <c r="A309" s="187"/>
      <c r="B309" s="212"/>
      <c r="C309" s="212"/>
      <c r="D309" s="600"/>
      <c r="E309" s="226"/>
      <c r="F309" s="38"/>
      <c r="G309" s="38"/>
      <c r="H309" s="39"/>
      <c r="I309" s="734"/>
      <c r="J309" s="64"/>
      <c r="K309" s="25"/>
      <c r="L309" s="25"/>
      <c r="M309" s="25"/>
    </row>
    <row r="310" spans="1:16" ht="21" customHeight="1" x14ac:dyDescent="0.25">
      <c r="A310" s="317" t="s">
        <v>273</v>
      </c>
      <c r="B310" s="206">
        <v>7370</v>
      </c>
      <c r="C310" s="216"/>
      <c r="D310" s="588"/>
      <c r="E310" s="122">
        <f>E311</f>
        <v>0</v>
      </c>
      <c r="F310" s="122">
        <f t="shared" ref="F310:H310" si="71">F311</f>
        <v>1450000</v>
      </c>
      <c r="G310" s="122">
        <f t="shared" si="71"/>
        <v>1350000</v>
      </c>
      <c r="H310" s="122">
        <f t="shared" si="71"/>
        <v>0</v>
      </c>
      <c r="I310" s="745">
        <f>H310/G310*100</f>
        <v>0</v>
      </c>
      <c r="J310" s="64"/>
      <c r="K310" s="25"/>
      <c r="L310" s="25"/>
      <c r="M310" s="25"/>
    </row>
    <row r="311" spans="1:16" ht="21" customHeight="1" x14ac:dyDescent="0.3">
      <c r="A311" s="254"/>
      <c r="B311" s="320"/>
      <c r="C311" s="219"/>
      <c r="D311" s="557" t="s">
        <v>15</v>
      </c>
      <c r="E311" s="48">
        <f>SUM(E312:E314)</f>
        <v>0</v>
      </c>
      <c r="F311" s="48">
        <f t="shared" ref="F311:H311" si="72">SUM(F312:F314)</f>
        <v>1450000</v>
      </c>
      <c r="G311" s="48">
        <f t="shared" si="72"/>
        <v>1350000</v>
      </c>
      <c r="H311" s="48">
        <f t="shared" si="72"/>
        <v>0</v>
      </c>
      <c r="I311" s="744">
        <f>H311/G311*100</f>
        <v>0</v>
      </c>
      <c r="J311" s="64"/>
      <c r="K311" s="25"/>
      <c r="L311" s="25"/>
      <c r="M311" s="25"/>
    </row>
    <row r="312" spans="1:16" ht="48" customHeight="1" x14ac:dyDescent="0.25">
      <c r="A312" s="313"/>
      <c r="B312" s="188"/>
      <c r="C312" s="212"/>
      <c r="D312" s="714" t="s">
        <v>274</v>
      </c>
      <c r="E312" s="519"/>
      <c r="F312" s="519">
        <f>1450000</f>
        <v>1450000</v>
      </c>
      <c r="G312" s="54">
        <f>500000+850000</f>
        <v>1350000</v>
      </c>
      <c r="H312" s="39"/>
      <c r="I312" s="734">
        <f>H312/G312*100</f>
        <v>0</v>
      </c>
      <c r="J312" s="89"/>
      <c r="K312" s="25"/>
      <c r="L312" s="25"/>
      <c r="M312" s="25"/>
    </row>
    <row r="313" spans="1:16" ht="21" hidden="1" customHeight="1" x14ac:dyDescent="0.25">
      <c r="A313" s="689"/>
      <c r="B313" s="690"/>
      <c r="C313" s="690"/>
      <c r="D313" s="695"/>
      <c r="E313" s="696"/>
      <c r="F313" s="692"/>
      <c r="G313" s="692"/>
      <c r="H313" s="693"/>
      <c r="I313" s="734" t="e">
        <f>H313/G313*100</f>
        <v>#DIV/0!</v>
      </c>
      <c r="J313" s="694"/>
      <c r="K313" s="25"/>
      <c r="L313" s="25"/>
      <c r="M313" s="25"/>
    </row>
    <row r="314" spans="1:16" ht="21" hidden="1" customHeight="1" x14ac:dyDescent="0.25">
      <c r="A314" s="689"/>
      <c r="B314" s="690"/>
      <c r="C314" s="690"/>
      <c r="D314" s="695"/>
      <c r="E314" s="696"/>
      <c r="F314" s="692"/>
      <c r="G314" s="692"/>
      <c r="H314" s="693"/>
      <c r="I314" s="734" t="e">
        <f>H314/G314*100</f>
        <v>#DIV/0!</v>
      </c>
      <c r="J314" s="694"/>
      <c r="K314" s="25"/>
      <c r="L314" s="25"/>
      <c r="M314" s="25"/>
    </row>
    <row r="315" spans="1:16" ht="21" customHeight="1" x14ac:dyDescent="0.25">
      <c r="A315" s="689"/>
      <c r="B315" s="690"/>
      <c r="C315" s="690"/>
      <c r="D315" s="695"/>
      <c r="E315" s="696"/>
      <c r="F315" s="692"/>
      <c r="G315" s="692"/>
      <c r="H315" s="693"/>
      <c r="I315" s="734"/>
      <c r="J315" s="694"/>
      <c r="K315" s="25"/>
      <c r="L315" s="25"/>
      <c r="M315" s="25"/>
    </row>
    <row r="316" spans="1:16" ht="22.5" customHeight="1" x14ac:dyDescent="0.25">
      <c r="A316" s="250" t="s">
        <v>74</v>
      </c>
      <c r="B316" s="250"/>
      <c r="C316" s="250"/>
      <c r="D316" s="201" t="s">
        <v>75</v>
      </c>
      <c r="E316" s="251">
        <f t="shared" ref="E316:F316" si="73">E317+E321+E331+E338+E346+E358+E362+E368</f>
        <v>6520000</v>
      </c>
      <c r="F316" s="251">
        <f t="shared" si="73"/>
        <v>8920000</v>
      </c>
      <c r="G316" s="251">
        <f>G317+G321+G331+G338+G346+G358+G362+G368</f>
        <v>7820000</v>
      </c>
      <c r="H316" s="251">
        <f>H346+H368</f>
        <v>0</v>
      </c>
      <c r="I316" s="742">
        <f>H316/G316*100</f>
        <v>0</v>
      </c>
      <c r="J316" s="252"/>
      <c r="K316" s="25"/>
      <c r="L316" s="25"/>
      <c r="M316" s="25"/>
    </row>
    <row r="317" spans="1:16" ht="32.25" hidden="1" customHeight="1" x14ac:dyDescent="0.25">
      <c r="A317" s="206" t="s">
        <v>76</v>
      </c>
      <c r="B317" s="175" t="s">
        <v>61</v>
      </c>
      <c r="C317" s="253"/>
      <c r="D317" s="601"/>
      <c r="E317" s="27">
        <f t="shared" ref="E317:H317" si="74">E318</f>
        <v>0</v>
      </c>
      <c r="F317" s="208">
        <f t="shared" si="74"/>
        <v>0</v>
      </c>
      <c r="G317" s="208">
        <f t="shared" si="74"/>
        <v>0</v>
      </c>
      <c r="H317" s="208" t="e">
        <f t="shared" si="74"/>
        <v>#REF!</v>
      </c>
      <c r="I317" s="741" t="e">
        <f>H317/G317*100</f>
        <v>#REF!</v>
      </c>
      <c r="J317" s="209"/>
      <c r="K317" s="25"/>
      <c r="L317" s="25"/>
      <c r="M317" s="25"/>
    </row>
    <row r="318" spans="1:16" s="53" customFormat="1" ht="29.25" hidden="1" customHeight="1" x14ac:dyDescent="0.25">
      <c r="A318" s="211"/>
      <c r="B318" s="254"/>
      <c r="C318" s="255"/>
      <c r="D318" s="602" t="s">
        <v>13</v>
      </c>
      <c r="E318" s="106">
        <f t="shared" ref="E318:H318" si="75">SUM(E319)</f>
        <v>0</v>
      </c>
      <c r="F318" s="63">
        <f t="shared" si="75"/>
        <v>0</v>
      </c>
      <c r="G318" s="63">
        <f t="shared" si="75"/>
        <v>0</v>
      </c>
      <c r="H318" s="63" t="e">
        <f t="shared" si="75"/>
        <v>#REF!</v>
      </c>
      <c r="I318" s="741" t="e">
        <f>H318/G318*100</f>
        <v>#REF!</v>
      </c>
      <c r="J318" s="107"/>
      <c r="K318" s="51"/>
      <c r="L318" s="51"/>
      <c r="M318" s="51"/>
      <c r="N318" s="52"/>
      <c r="O318" s="52"/>
      <c r="P318" s="52"/>
    </row>
    <row r="319" spans="1:16" ht="17.25" hidden="1" customHeight="1" x14ac:dyDescent="0.25">
      <c r="A319" s="187"/>
      <c r="B319" s="256"/>
      <c r="C319" s="212"/>
      <c r="D319" s="443"/>
      <c r="E319" s="37"/>
      <c r="F319" s="37"/>
      <c r="G319" s="39"/>
      <c r="H319" s="39" t="e">
        <f>G319-#REF!</f>
        <v>#REF!</v>
      </c>
      <c r="I319" s="741" t="e">
        <f>H319/G319*100</f>
        <v>#REF!</v>
      </c>
      <c r="J319" s="89"/>
      <c r="K319" s="25"/>
      <c r="L319" s="25"/>
      <c r="M319" s="25"/>
    </row>
    <row r="320" spans="1:16" ht="22.5" hidden="1" customHeight="1" x14ac:dyDescent="0.25">
      <c r="A320" s="187"/>
      <c r="B320" s="256"/>
      <c r="C320" s="212"/>
      <c r="D320" s="603"/>
      <c r="E320" s="40"/>
      <c r="F320" s="37"/>
      <c r="G320" s="190"/>
      <c r="H320" s="190"/>
      <c r="I320" s="741" t="e">
        <f>H320/G320*100</f>
        <v>#DIV/0!</v>
      </c>
      <c r="J320" s="192"/>
      <c r="K320" s="25"/>
      <c r="L320" s="25"/>
      <c r="M320" s="25"/>
    </row>
    <row r="321" spans="1:16" ht="22.5" hidden="1" customHeight="1" x14ac:dyDescent="0.25">
      <c r="A321" s="206">
        <v>1011080</v>
      </c>
      <c r="B321" s="175">
        <v>1080</v>
      </c>
      <c r="C321" s="206"/>
      <c r="D321" s="604"/>
      <c r="E321" s="217">
        <f t="shared" ref="E321:H321" si="76">E322+E325</f>
        <v>0</v>
      </c>
      <c r="F321" s="217">
        <f t="shared" si="76"/>
        <v>0</v>
      </c>
      <c r="G321" s="217">
        <f t="shared" si="76"/>
        <v>0</v>
      </c>
      <c r="H321" s="217" t="e">
        <f t="shared" si="76"/>
        <v>#REF!</v>
      </c>
      <c r="I321" s="741" t="e">
        <f>H321/G321*100</f>
        <v>#REF!</v>
      </c>
      <c r="J321" s="218"/>
      <c r="K321" s="25"/>
      <c r="L321" s="25"/>
      <c r="M321" s="25"/>
    </row>
    <row r="322" spans="1:16" ht="26.25" hidden="1" customHeight="1" x14ac:dyDescent="0.3">
      <c r="A322" s="211"/>
      <c r="B322" s="254"/>
      <c r="C322" s="211"/>
      <c r="D322" s="557" t="s">
        <v>13</v>
      </c>
      <c r="E322" s="220">
        <f t="shared" ref="E322:H322" si="77">SUM(E323:E324)</f>
        <v>0</v>
      </c>
      <c r="F322" s="220">
        <f t="shared" si="77"/>
        <v>0</v>
      </c>
      <c r="G322" s="220">
        <f t="shared" si="77"/>
        <v>0</v>
      </c>
      <c r="H322" s="220" t="e">
        <f t="shared" si="77"/>
        <v>#REF!</v>
      </c>
      <c r="I322" s="741" t="e">
        <f>H322/G322*100</f>
        <v>#REF!</v>
      </c>
      <c r="J322" s="221"/>
      <c r="K322" s="25"/>
      <c r="L322" s="25"/>
      <c r="M322" s="25"/>
    </row>
    <row r="323" spans="1:16" s="260" customFormat="1" ht="25.5" hidden="1" customHeight="1" x14ac:dyDescent="0.25">
      <c r="A323" s="187"/>
      <c r="B323" s="257"/>
      <c r="C323" s="257"/>
      <c r="D323" s="443"/>
      <c r="E323" s="191"/>
      <c r="F323" s="38"/>
      <c r="G323" s="39"/>
      <c r="H323" s="39" t="e">
        <f>G323-#REF!</f>
        <v>#REF!</v>
      </c>
      <c r="I323" s="741" t="e">
        <f>H323/G323*100</f>
        <v>#REF!</v>
      </c>
      <c r="J323" s="89"/>
      <c r="K323" s="258"/>
      <c r="L323" s="258"/>
      <c r="M323" s="258"/>
      <c r="N323" s="259"/>
      <c r="O323" s="259"/>
      <c r="P323" s="259"/>
    </row>
    <row r="324" spans="1:16" ht="20.25" hidden="1" customHeight="1" x14ac:dyDescent="0.25">
      <c r="A324" s="187"/>
      <c r="B324" s="212"/>
      <c r="C324" s="212"/>
      <c r="D324" s="587"/>
      <c r="E324" s="147"/>
      <c r="F324" s="37"/>
      <c r="G324" s="39"/>
      <c r="H324" s="39" t="e">
        <f>G324-#REF!</f>
        <v>#REF!</v>
      </c>
      <c r="I324" s="741" t="e">
        <f>H324/G324*100</f>
        <v>#REF!</v>
      </c>
      <c r="J324" s="89"/>
      <c r="K324" s="25"/>
      <c r="L324" s="25"/>
      <c r="M324" s="25"/>
    </row>
    <row r="325" spans="1:16" s="53" customFormat="1" ht="24" hidden="1" customHeight="1" x14ac:dyDescent="0.3">
      <c r="A325" s="185"/>
      <c r="B325" s="211"/>
      <c r="C325" s="211"/>
      <c r="D325" s="557" t="s">
        <v>15</v>
      </c>
      <c r="E325" s="46">
        <f t="shared" ref="E325:H325" si="78">SUM(E326:E329)</f>
        <v>0</v>
      </c>
      <c r="F325" s="46">
        <f t="shared" si="78"/>
        <v>0</v>
      </c>
      <c r="G325" s="46">
        <f t="shared" si="78"/>
        <v>0</v>
      </c>
      <c r="H325" s="46" t="e">
        <f t="shared" si="78"/>
        <v>#REF!</v>
      </c>
      <c r="I325" s="741" t="e">
        <f>H325/G325*100</f>
        <v>#REF!</v>
      </c>
      <c r="J325" s="47"/>
      <c r="K325" s="51"/>
      <c r="L325" s="51"/>
      <c r="M325" s="51"/>
      <c r="N325" s="52"/>
      <c r="O325" s="52"/>
      <c r="P325" s="52"/>
    </row>
    <row r="326" spans="1:16" s="141" customFormat="1" hidden="1" x14ac:dyDescent="0.25">
      <c r="A326" s="187"/>
      <c r="B326" s="212"/>
      <c r="C326" s="212"/>
      <c r="D326" s="446"/>
      <c r="E326" s="54"/>
      <c r="F326" s="54"/>
      <c r="G326" s="37"/>
      <c r="H326" s="39" t="e">
        <f>G326-#REF!</f>
        <v>#REF!</v>
      </c>
      <c r="I326" s="741" t="e">
        <f>H326/G326*100</f>
        <v>#REF!</v>
      </c>
      <c r="J326" s="89"/>
      <c r="K326" s="139"/>
      <c r="L326" s="139"/>
      <c r="M326" s="139"/>
      <c r="N326" s="140"/>
      <c r="O326" s="140"/>
      <c r="P326" s="140"/>
    </row>
    <row r="327" spans="1:16" ht="12.75" hidden="1" customHeight="1" x14ac:dyDescent="0.25">
      <c r="A327" s="187"/>
      <c r="B327" s="212"/>
      <c r="C327" s="212"/>
      <c r="D327" s="446"/>
      <c r="E327" s="54"/>
      <c r="F327" s="54"/>
      <c r="G327" s="37"/>
      <c r="H327" s="39" t="e">
        <f>G327-#REF!</f>
        <v>#REF!</v>
      </c>
      <c r="I327" s="741" t="e">
        <f>H327/G327*100</f>
        <v>#REF!</v>
      </c>
      <c r="J327" s="89"/>
      <c r="K327" s="25"/>
      <c r="L327" s="25"/>
      <c r="M327" s="25"/>
    </row>
    <row r="328" spans="1:16" ht="20.25" hidden="1" customHeight="1" x14ac:dyDescent="0.25">
      <c r="A328" s="187"/>
      <c r="B328" s="212"/>
      <c r="C328" s="212"/>
      <c r="D328" s="446"/>
      <c r="E328" s="54"/>
      <c r="F328" s="54"/>
      <c r="G328" s="37"/>
      <c r="H328" s="39" t="e">
        <f>G328-#REF!</f>
        <v>#REF!</v>
      </c>
      <c r="I328" s="741" t="e">
        <f>H328/G328*100</f>
        <v>#REF!</v>
      </c>
      <c r="J328" s="89"/>
      <c r="K328" s="25"/>
      <c r="L328" s="25"/>
      <c r="M328" s="25"/>
    </row>
    <row r="329" spans="1:16" ht="20.25" hidden="1" customHeight="1" x14ac:dyDescent="0.25">
      <c r="A329" s="84"/>
      <c r="B329" s="261"/>
      <c r="C329" s="261"/>
      <c r="D329" s="446"/>
      <c r="E329" s="54"/>
      <c r="F329" s="54"/>
      <c r="G329" s="37"/>
      <c r="H329" s="39" t="e">
        <f>G329-#REF!</f>
        <v>#REF!</v>
      </c>
      <c r="I329" s="741" t="e">
        <f>H329/G329*100</f>
        <v>#REF!</v>
      </c>
      <c r="J329" s="89"/>
      <c r="K329" s="25"/>
      <c r="L329" s="25"/>
      <c r="M329" s="25"/>
    </row>
    <row r="330" spans="1:16" hidden="1" x14ac:dyDescent="0.25">
      <c r="A330" s="84"/>
      <c r="B330" s="261"/>
      <c r="C330" s="261"/>
      <c r="D330" s="587"/>
      <c r="E330" s="146"/>
      <c r="F330" s="215"/>
      <c r="G330" s="191"/>
      <c r="H330" s="190"/>
      <c r="I330" s="741" t="e">
        <f>H330/G330*100</f>
        <v>#DIV/0!</v>
      </c>
      <c r="J330" s="192"/>
      <c r="K330" s="25"/>
      <c r="L330" s="25"/>
      <c r="M330" s="25"/>
    </row>
    <row r="331" spans="1:16" ht="25.5" hidden="1" customHeight="1" x14ac:dyDescent="0.25">
      <c r="A331" s="206" t="s">
        <v>77</v>
      </c>
      <c r="B331" s="206" t="s">
        <v>78</v>
      </c>
      <c r="C331" s="206"/>
      <c r="D331" s="588"/>
      <c r="E331" s="217">
        <f t="shared" ref="E331:H331" si="79">E332+E335</f>
        <v>0</v>
      </c>
      <c r="F331" s="217">
        <f t="shared" si="79"/>
        <v>0</v>
      </c>
      <c r="G331" s="217">
        <f t="shared" si="79"/>
        <v>0</v>
      </c>
      <c r="H331" s="217" t="e">
        <f t="shared" si="79"/>
        <v>#REF!</v>
      </c>
      <c r="I331" s="741" t="e">
        <f>H331/G331*100</f>
        <v>#REF!</v>
      </c>
      <c r="J331" s="218"/>
      <c r="K331" s="25"/>
      <c r="L331" s="25"/>
      <c r="M331" s="25"/>
    </row>
    <row r="332" spans="1:16" s="53" customFormat="1" ht="24" hidden="1" customHeight="1" x14ac:dyDescent="0.3">
      <c r="A332" s="211"/>
      <c r="B332" s="211"/>
      <c r="C332" s="211"/>
      <c r="D332" s="557" t="s">
        <v>13</v>
      </c>
      <c r="E332" s="220">
        <f t="shared" ref="E332:H332" si="80">SUM(E333)</f>
        <v>0</v>
      </c>
      <c r="F332" s="220">
        <f t="shared" si="80"/>
        <v>0</v>
      </c>
      <c r="G332" s="220">
        <f t="shared" si="80"/>
        <v>0</v>
      </c>
      <c r="H332" s="220" t="e">
        <f t="shared" si="80"/>
        <v>#REF!</v>
      </c>
      <c r="I332" s="741" t="e">
        <f>H332/G332*100</f>
        <v>#REF!</v>
      </c>
      <c r="J332" s="221"/>
      <c r="K332" s="51"/>
      <c r="L332" s="51"/>
      <c r="M332" s="51"/>
      <c r="N332" s="52"/>
      <c r="O332" s="52"/>
      <c r="P332" s="52"/>
    </row>
    <row r="333" spans="1:16" ht="18.75" hidden="1" customHeight="1" x14ac:dyDescent="0.25">
      <c r="A333" s="187"/>
      <c r="B333" s="188"/>
      <c r="C333" s="212"/>
      <c r="D333" s="538"/>
      <c r="E333" s="191"/>
      <c r="F333" s="191"/>
      <c r="G333" s="191"/>
      <c r="H333" s="486" t="e">
        <f>G333-#REF!</f>
        <v>#REF!</v>
      </c>
      <c r="I333" s="741" t="e">
        <f>H333/G333*100</f>
        <v>#REF!</v>
      </c>
      <c r="J333" s="192"/>
      <c r="K333" s="25"/>
      <c r="L333" s="25"/>
      <c r="M333" s="25"/>
    </row>
    <row r="334" spans="1:16" ht="14.25" hidden="1" customHeight="1" x14ac:dyDescent="0.25">
      <c r="A334" s="187"/>
      <c r="B334" s="188"/>
      <c r="C334" s="212"/>
      <c r="D334" s="540"/>
      <c r="E334" s="191"/>
      <c r="F334" s="191"/>
      <c r="G334" s="190"/>
      <c r="H334" s="190"/>
      <c r="I334" s="741" t="e">
        <f>H334/G334*100</f>
        <v>#DIV/0!</v>
      </c>
      <c r="J334" s="192"/>
      <c r="K334" s="25"/>
      <c r="L334" s="25"/>
      <c r="M334" s="25"/>
    </row>
    <row r="335" spans="1:16" ht="15.75" hidden="1" customHeight="1" x14ac:dyDescent="0.3">
      <c r="A335" s="211"/>
      <c r="B335" s="211"/>
      <c r="C335" s="211"/>
      <c r="D335" s="557" t="s">
        <v>15</v>
      </c>
      <c r="E335" s="220">
        <f t="shared" ref="E335:H335" si="81">SUM(E336)</f>
        <v>0</v>
      </c>
      <c r="F335" s="220">
        <f t="shared" si="81"/>
        <v>0</v>
      </c>
      <c r="G335" s="220">
        <f t="shared" si="81"/>
        <v>0</v>
      </c>
      <c r="H335" s="220" t="e">
        <f t="shared" si="81"/>
        <v>#REF!</v>
      </c>
      <c r="I335" s="741" t="e">
        <f>H335/G335*100</f>
        <v>#REF!</v>
      </c>
      <c r="J335" s="221"/>
      <c r="K335" s="25"/>
      <c r="L335" s="25"/>
      <c r="M335" s="25"/>
    </row>
    <row r="336" spans="1:16" ht="15.75" hidden="1" customHeight="1" x14ac:dyDescent="0.25">
      <c r="A336" s="187"/>
      <c r="B336" s="188"/>
      <c r="C336" s="212"/>
      <c r="D336" s="566"/>
      <c r="E336" s="37"/>
      <c r="F336" s="37"/>
      <c r="G336" s="190"/>
      <c r="H336" s="190" t="e">
        <f>G336-#REF!</f>
        <v>#REF!</v>
      </c>
      <c r="I336" s="741" t="e">
        <f>H336/G336*100</f>
        <v>#REF!</v>
      </c>
      <c r="J336" s="192"/>
      <c r="K336" s="25"/>
      <c r="L336" s="25"/>
      <c r="M336" s="25"/>
    </row>
    <row r="337" spans="1:16" ht="15.75" hidden="1" customHeight="1" x14ac:dyDescent="0.25">
      <c r="A337" s="187"/>
      <c r="B337" s="188"/>
      <c r="C337" s="212"/>
      <c r="D337" s="540"/>
      <c r="E337" s="191"/>
      <c r="F337" s="191"/>
      <c r="G337" s="190"/>
      <c r="H337" s="190"/>
      <c r="I337" s="741" t="e">
        <f>H337/G337*100</f>
        <v>#DIV/0!</v>
      </c>
      <c r="J337" s="192"/>
      <c r="K337" s="25"/>
      <c r="L337" s="25"/>
      <c r="M337" s="25"/>
    </row>
    <row r="338" spans="1:16" ht="18.75" hidden="1" customHeight="1" x14ac:dyDescent="0.25">
      <c r="A338" s="206" t="s">
        <v>79</v>
      </c>
      <c r="B338" s="175">
        <v>4040</v>
      </c>
      <c r="C338" s="206"/>
      <c r="D338" s="588"/>
      <c r="E338" s="217">
        <f t="shared" ref="E338:H338" si="82">E339+E342</f>
        <v>0</v>
      </c>
      <c r="F338" s="217">
        <f t="shared" si="82"/>
        <v>0</v>
      </c>
      <c r="G338" s="217">
        <f t="shared" si="82"/>
        <v>0</v>
      </c>
      <c r="H338" s="217" t="e">
        <f t="shared" si="82"/>
        <v>#REF!</v>
      </c>
      <c r="I338" s="741" t="e">
        <f>H338/G338*100</f>
        <v>#REF!</v>
      </c>
      <c r="J338" s="218"/>
      <c r="K338" s="25"/>
      <c r="L338" s="25"/>
      <c r="M338" s="25"/>
    </row>
    <row r="339" spans="1:16" s="53" customFormat="1" ht="18.75" hidden="1" customHeight="1" x14ac:dyDescent="0.3">
      <c r="A339" s="185"/>
      <c r="B339" s="167"/>
      <c r="C339" s="211"/>
      <c r="D339" s="557" t="s">
        <v>13</v>
      </c>
      <c r="E339" s="220">
        <f t="shared" ref="E339:H339" si="83">SUM(E340)</f>
        <v>0</v>
      </c>
      <c r="F339" s="220">
        <f t="shared" si="83"/>
        <v>0</v>
      </c>
      <c r="G339" s="220">
        <f t="shared" si="83"/>
        <v>0</v>
      </c>
      <c r="H339" s="220" t="e">
        <f t="shared" si="83"/>
        <v>#REF!</v>
      </c>
      <c r="I339" s="741" t="e">
        <f>H339/G339*100</f>
        <v>#REF!</v>
      </c>
      <c r="J339" s="221"/>
      <c r="K339" s="51"/>
      <c r="L339" s="51"/>
      <c r="M339" s="51"/>
      <c r="N339" s="52"/>
      <c r="O339" s="52"/>
      <c r="P339" s="52"/>
    </row>
    <row r="340" spans="1:16" ht="35.25" hidden="1" customHeight="1" x14ac:dyDescent="0.25">
      <c r="A340" s="187"/>
      <c r="B340" s="188"/>
      <c r="C340" s="212"/>
      <c r="D340" s="592"/>
      <c r="E340" s="37"/>
      <c r="F340" s="37"/>
      <c r="G340" s="37"/>
      <c r="H340" s="487" t="e">
        <f>G340-#REF!</f>
        <v>#REF!</v>
      </c>
      <c r="I340" s="741" t="e">
        <f>H340/G340*100</f>
        <v>#REF!</v>
      </c>
      <c r="J340" s="89"/>
      <c r="K340" s="25"/>
      <c r="L340" s="25"/>
      <c r="M340" s="25"/>
    </row>
    <row r="341" spans="1:16" ht="17.25" hidden="1" customHeight="1" x14ac:dyDescent="0.25">
      <c r="A341" s="187"/>
      <c r="B341" s="188"/>
      <c r="C341" s="212"/>
      <c r="D341" s="603"/>
      <c r="E341" s="118"/>
      <c r="F341" s="191"/>
      <c r="G341" s="190"/>
      <c r="H341" s="190"/>
      <c r="I341" s="741" t="e">
        <f>H341/G341*100</f>
        <v>#DIV/0!</v>
      </c>
      <c r="J341" s="192"/>
      <c r="K341" s="25"/>
      <c r="L341" s="25"/>
      <c r="M341" s="25"/>
    </row>
    <row r="342" spans="1:16" ht="21.75" hidden="1" customHeight="1" x14ac:dyDescent="0.3">
      <c r="A342" s="185"/>
      <c r="B342" s="167"/>
      <c r="C342" s="211"/>
      <c r="D342" s="557" t="s">
        <v>15</v>
      </c>
      <c r="E342" s="105">
        <f t="shared" ref="E342:H342" si="84">SUM(E343:E344)</f>
        <v>0</v>
      </c>
      <c r="F342" s="262">
        <f t="shared" si="84"/>
        <v>0</v>
      </c>
      <c r="G342" s="262">
        <f t="shared" si="84"/>
        <v>0</v>
      </c>
      <c r="H342" s="262" t="e">
        <f t="shared" si="84"/>
        <v>#REF!</v>
      </c>
      <c r="I342" s="741" t="e">
        <f>H342/G342*100</f>
        <v>#REF!</v>
      </c>
      <c r="J342" s="263"/>
      <c r="K342" s="25"/>
      <c r="L342" s="25"/>
      <c r="M342" s="25"/>
    </row>
    <row r="343" spans="1:16" ht="21.75" hidden="1" customHeight="1" x14ac:dyDescent="0.25">
      <c r="A343" s="187"/>
      <c r="B343" s="188"/>
      <c r="C343" s="212"/>
      <c r="D343" s="446"/>
      <c r="E343" s="191"/>
      <c r="F343" s="191"/>
      <c r="G343" s="190"/>
      <c r="H343" s="190" t="e">
        <f>G343-#REF!</f>
        <v>#REF!</v>
      </c>
      <c r="I343" s="741" t="e">
        <f>H343/G343*100</f>
        <v>#REF!</v>
      </c>
      <c r="J343" s="192"/>
      <c r="K343" s="25"/>
      <c r="L343" s="25"/>
      <c r="M343" s="25"/>
    </row>
    <row r="344" spans="1:16" ht="21.75" hidden="1" customHeight="1" x14ac:dyDescent="0.25">
      <c r="A344" s="187"/>
      <c r="B344" s="188"/>
      <c r="C344" s="212"/>
      <c r="D344" s="446"/>
      <c r="E344" s="191"/>
      <c r="F344" s="191"/>
      <c r="G344" s="190"/>
      <c r="H344" s="190" t="e">
        <f>G344-#REF!</f>
        <v>#REF!</v>
      </c>
      <c r="I344" s="741" t="e">
        <f>H344/G344*100</f>
        <v>#REF!</v>
      </c>
      <c r="J344" s="192"/>
      <c r="K344" s="25"/>
      <c r="L344" s="25"/>
      <c r="M344" s="25"/>
    </row>
    <row r="345" spans="1:16" ht="21.75" hidden="1" customHeight="1" x14ac:dyDescent="0.25">
      <c r="A345" s="187"/>
      <c r="B345" s="8"/>
      <c r="C345" s="212"/>
      <c r="D345" s="603"/>
      <c r="E345" s="118"/>
      <c r="F345" s="191"/>
      <c r="G345" s="190"/>
      <c r="H345" s="190"/>
      <c r="I345" s="741" t="e">
        <f>H345/G345*100</f>
        <v>#DIV/0!</v>
      </c>
      <c r="J345" s="192"/>
      <c r="K345" s="25"/>
      <c r="L345" s="25"/>
      <c r="M345" s="25"/>
    </row>
    <row r="346" spans="1:16" ht="21.75" customHeight="1" x14ac:dyDescent="0.3">
      <c r="A346" s="206" t="s">
        <v>80</v>
      </c>
      <c r="B346" s="175">
        <v>4060</v>
      </c>
      <c r="C346" s="206"/>
      <c r="D346" s="605"/>
      <c r="E346" s="217">
        <f t="shared" ref="E346:G346" si="85">E347+E350</f>
        <v>6520000</v>
      </c>
      <c r="F346" s="217">
        <f t="shared" si="85"/>
        <v>6520000</v>
      </c>
      <c r="G346" s="217">
        <f t="shared" si="85"/>
        <v>6520000</v>
      </c>
      <c r="H346" s="217">
        <f>H350</f>
        <v>0</v>
      </c>
      <c r="I346" s="745">
        <f>H346/G346*100</f>
        <v>0</v>
      </c>
      <c r="J346" s="218"/>
      <c r="K346" s="25"/>
      <c r="L346" s="25"/>
      <c r="M346" s="25"/>
    </row>
    <row r="347" spans="1:16" ht="27" hidden="1" customHeight="1" x14ac:dyDescent="0.3">
      <c r="A347" s="211"/>
      <c r="B347" s="254"/>
      <c r="C347" s="211"/>
      <c r="D347" s="557" t="s">
        <v>13</v>
      </c>
      <c r="E347" s="264">
        <f t="shared" ref="E347:H347" si="86">SUM(E348)</f>
        <v>0</v>
      </c>
      <c r="F347" s="264">
        <f t="shared" si="86"/>
        <v>0</v>
      </c>
      <c r="G347" s="264">
        <f t="shared" si="86"/>
        <v>0</v>
      </c>
      <c r="H347" s="264" t="e">
        <f t="shared" si="86"/>
        <v>#REF!</v>
      </c>
      <c r="I347" s="741" t="e">
        <f>H347/G347*100</f>
        <v>#REF!</v>
      </c>
      <c r="J347" s="218"/>
      <c r="K347" s="25"/>
      <c r="L347" s="25"/>
      <c r="M347" s="25"/>
    </row>
    <row r="348" spans="1:16" ht="26.25" hidden="1" customHeight="1" x14ac:dyDescent="0.25">
      <c r="A348" s="212"/>
      <c r="B348" s="179"/>
      <c r="C348" s="212"/>
      <c r="D348" s="586"/>
      <c r="E348" s="191"/>
      <c r="F348" s="191"/>
      <c r="G348" s="191"/>
      <c r="H348" s="516" t="e">
        <f>G348-#REF!</f>
        <v>#REF!</v>
      </c>
      <c r="I348" s="741" t="e">
        <f>H348/G348*100</f>
        <v>#REF!</v>
      </c>
      <c r="J348" s="265"/>
      <c r="K348" s="25"/>
      <c r="L348" s="25"/>
      <c r="M348" s="25"/>
    </row>
    <row r="349" spans="1:16" ht="10.5" hidden="1" customHeight="1" x14ac:dyDescent="0.25">
      <c r="A349" s="212"/>
      <c r="B349" s="179"/>
      <c r="C349" s="212"/>
      <c r="D349" s="540"/>
      <c r="E349" s="191"/>
      <c r="F349" s="191"/>
      <c r="G349" s="191"/>
      <c r="H349" s="191" t="e">
        <f>G349-#REF!</f>
        <v>#REF!</v>
      </c>
      <c r="I349" s="741" t="e">
        <f>H349/G349*100</f>
        <v>#REF!</v>
      </c>
      <c r="J349" s="265"/>
      <c r="K349" s="25"/>
      <c r="L349" s="25"/>
      <c r="M349" s="25"/>
    </row>
    <row r="350" spans="1:16" ht="26.25" customHeight="1" x14ac:dyDescent="0.3">
      <c r="A350" s="211"/>
      <c r="B350" s="211"/>
      <c r="C350" s="211"/>
      <c r="D350" s="557" t="s">
        <v>15</v>
      </c>
      <c r="E350" s="220">
        <f t="shared" ref="E350:F350" si="87">SUM(E351:E354)</f>
        <v>6520000</v>
      </c>
      <c r="F350" s="220">
        <f t="shared" si="87"/>
        <v>6520000</v>
      </c>
      <c r="G350" s="220">
        <f>SUM(G351:G354)</f>
        <v>6520000</v>
      </c>
      <c r="H350" s="220">
        <f>H351</f>
        <v>0</v>
      </c>
      <c r="I350" s="744">
        <f>H350/G350*100</f>
        <v>0</v>
      </c>
      <c r="J350" s="221"/>
      <c r="K350" s="25"/>
      <c r="L350" s="25"/>
      <c r="M350" s="25"/>
    </row>
    <row r="351" spans="1:16" ht="37.5" x14ac:dyDescent="0.25">
      <c r="A351" s="212"/>
      <c r="B351" s="179"/>
      <c r="C351" s="212"/>
      <c r="D351" s="592" t="s">
        <v>163</v>
      </c>
      <c r="E351" s="37">
        <f>6520000</f>
        <v>6520000</v>
      </c>
      <c r="F351" s="37">
        <f>6520000</f>
        <v>6520000</v>
      </c>
      <c r="G351" s="191">
        <f>6520000</f>
        <v>6520000</v>
      </c>
      <c r="H351" s="191"/>
      <c r="I351" s="734">
        <f>H351/G351*100</f>
        <v>0</v>
      </c>
      <c r="J351" s="265"/>
      <c r="K351" s="25"/>
      <c r="L351" s="25"/>
      <c r="M351" s="25"/>
    </row>
    <row r="352" spans="1:16" ht="16.5" hidden="1" customHeight="1" x14ac:dyDescent="0.25">
      <c r="A352" s="212"/>
      <c r="B352" s="179"/>
      <c r="C352" s="212"/>
      <c r="D352" s="446"/>
      <c r="E352" s="37"/>
      <c r="F352" s="37"/>
      <c r="G352" s="191"/>
      <c r="H352" s="191" t="e">
        <f>G352-#REF!</f>
        <v>#REF!</v>
      </c>
      <c r="I352" s="734" t="e">
        <f>H352/G352*100</f>
        <v>#REF!</v>
      </c>
      <c r="J352" s="265"/>
      <c r="K352" s="25"/>
      <c r="L352" s="25"/>
      <c r="M352" s="25"/>
    </row>
    <row r="353" spans="1:16" ht="19.5" hidden="1" customHeight="1" x14ac:dyDescent="0.25">
      <c r="A353" s="212"/>
      <c r="B353" s="179"/>
      <c r="C353" s="212"/>
      <c r="D353" s="446"/>
      <c r="E353" s="37"/>
      <c r="F353" s="37"/>
      <c r="G353" s="191"/>
      <c r="H353" s="191" t="e">
        <f>G353-#REF!</f>
        <v>#REF!</v>
      </c>
      <c r="I353" s="734" t="e">
        <f>H353/G353*100</f>
        <v>#REF!</v>
      </c>
      <c r="J353" s="265"/>
      <c r="K353" s="25"/>
      <c r="L353" s="25"/>
      <c r="M353" s="25"/>
    </row>
    <row r="354" spans="1:16" ht="14.25" customHeight="1" x14ac:dyDescent="0.3">
      <c r="A354" s="212"/>
      <c r="B354" s="179"/>
      <c r="C354" s="212"/>
      <c r="D354" s="606"/>
      <c r="E354" s="239"/>
      <c r="F354" s="266"/>
      <c r="G354" s="266"/>
      <c r="H354" s="266"/>
      <c r="I354" s="734"/>
      <c r="J354" s="218"/>
      <c r="K354" s="25"/>
      <c r="L354" s="25"/>
      <c r="M354" s="25"/>
    </row>
    <row r="355" spans="1:16" ht="23.25" hidden="1" customHeight="1" x14ac:dyDescent="0.3">
      <c r="A355" s="211"/>
      <c r="B355" s="254"/>
      <c r="C355" s="211"/>
      <c r="D355" s="557" t="s">
        <v>15</v>
      </c>
      <c r="E355" s="220">
        <f t="shared" ref="E355:H355" si="88">SUM(E356:E357)</f>
        <v>0</v>
      </c>
      <c r="F355" s="264">
        <f t="shared" si="88"/>
        <v>0</v>
      </c>
      <c r="G355" s="264">
        <f t="shared" si="88"/>
        <v>0</v>
      </c>
      <c r="H355" s="264" t="e">
        <f t="shared" si="88"/>
        <v>#REF!</v>
      </c>
      <c r="I355" s="734" t="e">
        <f>H355/G355*100</f>
        <v>#REF!</v>
      </c>
      <c r="J355" s="218"/>
      <c r="K355" s="25"/>
      <c r="L355" s="25"/>
      <c r="M355" s="25"/>
    </row>
    <row r="356" spans="1:16" s="260" customFormat="1" ht="54" hidden="1" customHeight="1" x14ac:dyDescent="0.25">
      <c r="A356" s="187"/>
      <c r="B356" s="177"/>
      <c r="C356" s="212"/>
      <c r="D356" s="566"/>
      <c r="E356" s="189"/>
      <c r="F356" s="37"/>
      <c r="G356" s="37"/>
      <c r="H356" s="39" t="e">
        <f>G356-#REF!</f>
        <v>#REF!</v>
      </c>
      <c r="I356" s="734" t="e">
        <f>H356/G356*100</f>
        <v>#REF!</v>
      </c>
      <c r="J356" s="89"/>
      <c r="K356" s="258"/>
      <c r="L356" s="258"/>
      <c r="M356" s="258"/>
      <c r="N356" s="259"/>
      <c r="O356" s="259"/>
      <c r="P356" s="259"/>
    </row>
    <row r="357" spans="1:16" s="260" customFormat="1" ht="22.5" hidden="1" customHeight="1" x14ac:dyDescent="0.25">
      <c r="A357" s="195"/>
      <c r="B357" s="267"/>
      <c r="C357" s="268"/>
      <c r="D357" s="540"/>
      <c r="E357" s="269"/>
      <c r="F357" s="137"/>
      <c r="G357" s="137"/>
      <c r="H357" s="270"/>
      <c r="I357" s="734" t="e">
        <f>H357/G357*100</f>
        <v>#DIV/0!</v>
      </c>
      <c r="J357" s="271"/>
      <c r="K357" s="258"/>
      <c r="L357" s="258"/>
      <c r="M357" s="258"/>
      <c r="N357" s="259"/>
      <c r="O357" s="259"/>
      <c r="P357" s="259"/>
    </row>
    <row r="358" spans="1:16" s="260" customFormat="1" ht="19.5" hidden="1" customHeight="1" x14ac:dyDescent="0.25">
      <c r="A358" s="231" t="s">
        <v>81</v>
      </c>
      <c r="B358" s="231" t="s">
        <v>82</v>
      </c>
      <c r="C358" s="206"/>
      <c r="D358" s="607"/>
      <c r="E358" s="272">
        <f t="shared" ref="E358:H358" si="89">E359</f>
        <v>0</v>
      </c>
      <c r="F358" s="70">
        <f t="shared" si="89"/>
        <v>0</v>
      </c>
      <c r="G358" s="70">
        <f t="shared" si="89"/>
        <v>0</v>
      </c>
      <c r="H358" s="70" t="e">
        <f t="shared" si="89"/>
        <v>#REF!</v>
      </c>
      <c r="I358" s="734" t="e">
        <f>H358/G358*100</f>
        <v>#REF!</v>
      </c>
      <c r="J358" s="158"/>
      <c r="K358" s="258"/>
      <c r="L358" s="258"/>
      <c r="M358" s="258"/>
      <c r="N358" s="259"/>
      <c r="O358" s="259"/>
      <c r="P358" s="259"/>
    </row>
    <row r="359" spans="1:16" s="260" customFormat="1" ht="21" hidden="1" customHeight="1" x14ac:dyDescent="0.3">
      <c r="A359" s="211"/>
      <c r="B359" s="211"/>
      <c r="C359" s="211"/>
      <c r="D359" s="557" t="s">
        <v>13</v>
      </c>
      <c r="E359" s="46">
        <f t="shared" ref="E359:H359" si="90">SUM(E360)</f>
        <v>0</v>
      </c>
      <c r="F359" s="46">
        <f t="shared" si="90"/>
        <v>0</v>
      </c>
      <c r="G359" s="46">
        <f t="shared" si="90"/>
        <v>0</v>
      </c>
      <c r="H359" s="46" t="e">
        <f t="shared" si="90"/>
        <v>#REF!</v>
      </c>
      <c r="I359" s="734" t="e">
        <f>H359/G359*100</f>
        <v>#REF!</v>
      </c>
      <c r="J359" s="47"/>
      <c r="K359" s="258"/>
      <c r="L359" s="258"/>
      <c r="M359" s="258"/>
      <c r="N359" s="259"/>
      <c r="O359" s="259"/>
      <c r="P359" s="259"/>
    </row>
    <row r="360" spans="1:16" s="260" customFormat="1" ht="18.75" hidden="1" customHeight="1" x14ac:dyDescent="0.25">
      <c r="A360" s="195"/>
      <c r="B360" s="177"/>
      <c r="C360" s="212"/>
      <c r="D360" s="577"/>
      <c r="E360" s="189"/>
      <c r="F360" s="37"/>
      <c r="G360" s="119"/>
      <c r="H360" s="487" t="e">
        <f>G360-#REF!</f>
        <v>#REF!</v>
      </c>
      <c r="I360" s="734" t="e">
        <f>H360/G360*100</f>
        <v>#REF!</v>
      </c>
      <c r="J360" s="89"/>
      <c r="K360" s="258"/>
      <c r="L360" s="258"/>
      <c r="M360" s="258"/>
      <c r="N360" s="259"/>
      <c r="O360" s="259"/>
      <c r="P360" s="259"/>
    </row>
    <row r="361" spans="1:16" s="260" customFormat="1" ht="18.75" hidden="1" customHeight="1" x14ac:dyDescent="0.25">
      <c r="A361" s="195"/>
      <c r="B361" s="177"/>
      <c r="C361" s="212"/>
      <c r="D361" s="540"/>
      <c r="E361" s="226"/>
      <c r="F361" s="38"/>
      <c r="G361" s="38"/>
      <c r="H361" s="39"/>
      <c r="I361" s="734" t="e">
        <f>H361/G361*100</f>
        <v>#DIV/0!</v>
      </c>
      <c r="J361" s="89"/>
      <c r="K361" s="258"/>
      <c r="L361" s="258"/>
      <c r="M361" s="258"/>
      <c r="N361" s="259"/>
      <c r="O361" s="259"/>
      <c r="P361" s="259"/>
    </row>
    <row r="362" spans="1:16" s="260" customFormat="1" ht="31.5" hidden="1" customHeight="1" x14ac:dyDescent="0.25">
      <c r="A362" s="231" t="s">
        <v>83</v>
      </c>
      <c r="B362" s="231" t="s">
        <v>84</v>
      </c>
      <c r="C362" s="206"/>
      <c r="D362" s="607"/>
      <c r="E362" s="272">
        <f t="shared" ref="E362:H362" si="91">E363+E365</f>
        <v>0</v>
      </c>
      <c r="F362" s="70">
        <f t="shared" si="91"/>
        <v>0</v>
      </c>
      <c r="G362" s="70">
        <f t="shared" si="91"/>
        <v>0</v>
      </c>
      <c r="H362" s="70" t="e">
        <f t="shared" si="91"/>
        <v>#REF!</v>
      </c>
      <c r="I362" s="734" t="e">
        <f>H362/G362*100</f>
        <v>#REF!</v>
      </c>
      <c r="J362" s="158"/>
      <c r="K362" s="258"/>
      <c r="L362" s="258"/>
      <c r="M362" s="258"/>
      <c r="N362" s="259"/>
      <c r="O362" s="259"/>
      <c r="P362" s="259"/>
    </row>
    <row r="363" spans="1:16" s="260" customFormat="1" ht="31.5" hidden="1" customHeight="1" x14ac:dyDescent="0.3">
      <c r="A363" s="211"/>
      <c r="B363" s="211"/>
      <c r="C363" s="211"/>
      <c r="D363" s="557" t="s">
        <v>13</v>
      </c>
      <c r="E363" s="46">
        <f t="shared" ref="E363:H363" si="92">SUM(E364)</f>
        <v>0</v>
      </c>
      <c r="F363" s="46">
        <f t="shared" si="92"/>
        <v>0</v>
      </c>
      <c r="G363" s="46">
        <f t="shared" si="92"/>
        <v>0</v>
      </c>
      <c r="H363" s="46" t="e">
        <f t="shared" si="92"/>
        <v>#REF!</v>
      </c>
      <c r="I363" s="734" t="e">
        <f>H363/G363*100</f>
        <v>#REF!</v>
      </c>
      <c r="J363" s="47"/>
      <c r="K363" s="258"/>
      <c r="L363" s="258"/>
      <c r="M363" s="258"/>
      <c r="N363" s="259"/>
      <c r="O363" s="259"/>
      <c r="P363" s="259"/>
    </row>
    <row r="364" spans="1:16" ht="26.25" hidden="1" customHeight="1" x14ac:dyDescent="0.25">
      <c r="A364" s="187"/>
      <c r="B364" s="238"/>
      <c r="C364" s="212"/>
      <c r="D364" s="443"/>
      <c r="E364" s="189"/>
      <c r="F364" s="37"/>
      <c r="G364" s="37"/>
      <c r="H364" s="39" t="e">
        <f>G364-#REF!</f>
        <v>#REF!</v>
      </c>
      <c r="I364" s="734" t="e">
        <f>H364/G364*100</f>
        <v>#REF!</v>
      </c>
      <c r="J364" s="89"/>
      <c r="K364" s="25"/>
      <c r="L364" s="25"/>
      <c r="M364" s="25"/>
    </row>
    <row r="365" spans="1:16" ht="26.25" hidden="1" customHeight="1" x14ac:dyDescent="0.3">
      <c r="A365" s="211"/>
      <c r="B365" s="254"/>
      <c r="C365" s="211"/>
      <c r="D365" s="557" t="s">
        <v>15</v>
      </c>
      <c r="E365" s="220">
        <f t="shared" ref="E365:H365" si="93">E366</f>
        <v>0</v>
      </c>
      <c r="F365" s="220">
        <f t="shared" si="93"/>
        <v>0</v>
      </c>
      <c r="G365" s="220">
        <f t="shared" si="93"/>
        <v>0</v>
      </c>
      <c r="H365" s="220" t="e">
        <f t="shared" si="93"/>
        <v>#REF!</v>
      </c>
      <c r="I365" s="734" t="e">
        <f>H365/G365*100</f>
        <v>#REF!</v>
      </c>
      <c r="J365" s="221"/>
      <c r="K365" s="25"/>
      <c r="L365" s="25"/>
      <c r="M365" s="25"/>
    </row>
    <row r="366" spans="1:16" ht="25.5" hidden="1" customHeight="1" x14ac:dyDescent="0.25">
      <c r="A366" s="187"/>
      <c r="B366" s="238"/>
      <c r="C366" s="212"/>
      <c r="D366" s="540"/>
      <c r="E366" s="37"/>
      <c r="F366" s="37"/>
      <c r="G366" s="38"/>
      <c r="H366" s="39" t="e">
        <f>G366-#REF!</f>
        <v>#REF!</v>
      </c>
      <c r="I366" s="734" t="e">
        <f>H366/G366*100</f>
        <v>#REF!</v>
      </c>
      <c r="J366" s="89"/>
      <c r="K366" s="25"/>
      <c r="L366" s="25"/>
      <c r="M366" s="25"/>
    </row>
    <row r="367" spans="1:16" ht="16.5" hidden="1" customHeight="1" x14ac:dyDescent="0.25">
      <c r="A367" s="187"/>
      <c r="B367" s="238"/>
      <c r="C367" s="212"/>
      <c r="D367" s="540"/>
      <c r="E367" s="226"/>
      <c r="F367" s="38"/>
      <c r="G367" s="38"/>
      <c r="H367" s="39"/>
      <c r="I367" s="734" t="e">
        <f>H367/G367*100</f>
        <v>#DIV/0!</v>
      </c>
      <c r="J367" s="89"/>
      <c r="K367" s="25"/>
      <c r="L367" s="25"/>
      <c r="M367" s="25"/>
    </row>
    <row r="368" spans="1:16" ht="24.75" customHeight="1" x14ac:dyDescent="0.25">
      <c r="A368" s="26" t="s">
        <v>275</v>
      </c>
      <c r="B368" s="150">
        <v>7324</v>
      </c>
      <c r="C368" s="165"/>
      <c r="D368" s="98"/>
      <c r="E368" s="99">
        <f t="shared" ref="E368:H368" si="94">E369+E371</f>
        <v>0</v>
      </c>
      <c r="F368" s="99">
        <f t="shared" si="94"/>
        <v>2400000</v>
      </c>
      <c r="G368" s="99">
        <f t="shared" si="94"/>
        <v>1300000</v>
      </c>
      <c r="H368" s="99">
        <f t="shared" si="94"/>
        <v>0</v>
      </c>
      <c r="I368" s="745">
        <f>H368/G368*100</f>
        <v>0</v>
      </c>
      <c r="J368" s="100"/>
      <c r="K368" s="25"/>
      <c r="L368" s="25"/>
      <c r="M368" s="25"/>
    </row>
    <row r="369" spans="1:16" ht="19.5" customHeight="1" x14ac:dyDescent="0.3">
      <c r="A369" s="166"/>
      <c r="B369" s="167"/>
      <c r="C369" s="168"/>
      <c r="D369" s="557" t="s">
        <v>14</v>
      </c>
      <c r="E369" s="46">
        <f>E370</f>
        <v>0</v>
      </c>
      <c r="F369" s="46">
        <f>F370</f>
        <v>2400000</v>
      </c>
      <c r="G369" s="46">
        <f>G370</f>
        <v>1300000</v>
      </c>
      <c r="H369" s="46">
        <f>SUM(H370)</f>
        <v>0</v>
      </c>
      <c r="I369" s="744">
        <f>H369/G369*100</f>
        <v>0</v>
      </c>
      <c r="J369" s="47"/>
      <c r="K369" s="25"/>
      <c r="L369" s="25"/>
      <c r="M369" s="25"/>
    </row>
    <row r="370" spans="1:16" ht="48.75" customHeight="1" x14ac:dyDescent="0.25">
      <c r="A370" s="84"/>
      <c r="B370" s="169"/>
      <c r="C370" s="170"/>
      <c r="D370" s="715" t="s">
        <v>276</v>
      </c>
      <c r="E370" s="40"/>
      <c r="F370" s="38">
        <f>2400000</f>
        <v>2400000</v>
      </c>
      <c r="G370" s="38">
        <f>1300000</f>
        <v>1300000</v>
      </c>
      <c r="H370" s="39"/>
      <c r="I370" s="734">
        <f>H370/G370*100</f>
        <v>0</v>
      </c>
      <c r="J370" s="89"/>
      <c r="K370" s="25"/>
      <c r="L370" s="25"/>
      <c r="M370" s="25"/>
    </row>
    <row r="371" spans="1:16" ht="15.75" customHeight="1" x14ac:dyDescent="0.25">
      <c r="A371" s="187"/>
      <c r="B371" s="238"/>
      <c r="C371" s="212"/>
      <c r="D371" s="608"/>
      <c r="E371" s="226"/>
      <c r="F371" s="38"/>
      <c r="G371" s="38"/>
      <c r="H371" s="39"/>
      <c r="I371" s="734"/>
      <c r="J371" s="89"/>
      <c r="K371" s="25"/>
      <c r="L371" s="25"/>
      <c r="M371" s="25"/>
    </row>
    <row r="372" spans="1:16" s="235" customFormat="1" ht="26.25" hidden="1" customHeight="1" x14ac:dyDescent="0.25">
      <c r="A372" s="250" t="s">
        <v>85</v>
      </c>
      <c r="B372" s="199"/>
      <c r="C372" s="242"/>
      <c r="D372" s="243" t="s">
        <v>86</v>
      </c>
      <c r="E372" s="273">
        <f t="shared" ref="E372:H372" si="95">E373</f>
        <v>0</v>
      </c>
      <c r="F372" s="274">
        <f t="shared" si="95"/>
        <v>0</v>
      </c>
      <c r="G372" s="274">
        <f t="shared" si="95"/>
        <v>0</v>
      </c>
      <c r="H372" s="274" t="e">
        <f t="shared" si="95"/>
        <v>#REF!</v>
      </c>
      <c r="I372" s="734" t="e">
        <f>H372/G372*100</f>
        <v>#REF!</v>
      </c>
      <c r="J372" s="203"/>
      <c r="K372" s="233"/>
      <c r="L372" s="233"/>
      <c r="M372" s="233"/>
      <c r="N372" s="234"/>
      <c r="O372" s="234"/>
      <c r="P372" s="234"/>
    </row>
    <row r="373" spans="1:16" s="249" customFormat="1" ht="24" hidden="1" customHeight="1" x14ac:dyDescent="0.25">
      <c r="A373" s="150">
        <v>1115031</v>
      </c>
      <c r="B373" s="120">
        <v>5031</v>
      </c>
      <c r="C373" s="150"/>
      <c r="D373" s="207"/>
      <c r="E373" s="27">
        <f t="shared" ref="E373:H373" si="96">E374+E377</f>
        <v>0</v>
      </c>
      <c r="F373" s="208">
        <f t="shared" si="96"/>
        <v>0</v>
      </c>
      <c r="G373" s="208">
        <f t="shared" si="96"/>
        <v>0</v>
      </c>
      <c r="H373" s="208" t="e">
        <f t="shared" si="96"/>
        <v>#REF!</v>
      </c>
      <c r="I373" s="734" t="e">
        <f>H373/G373*100</f>
        <v>#REF!</v>
      </c>
      <c r="J373" s="275"/>
      <c r="K373" s="247"/>
      <c r="L373" s="247"/>
      <c r="M373" s="247"/>
      <c r="N373" s="248"/>
      <c r="O373" s="248"/>
      <c r="P373" s="248"/>
    </row>
    <row r="374" spans="1:16" s="141" customFormat="1" ht="21" hidden="1" customHeight="1" x14ac:dyDescent="0.3">
      <c r="A374" s="211"/>
      <c r="B374" s="211"/>
      <c r="C374" s="211"/>
      <c r="D374" s="557" t="s">
        <v>13</v>
      </c>
      <c r="E374" s="46">
        <f t="shared" ref="E374:H374" si="97">SUM(E375)</f>
        <v>0</v>
      </c>
      <c r="F374" s="46">
        <f t="shared" si="97"/>
        <v>0</v>
      </c>
      <c r="G374" s="46">
        <f t="shared" si="97"/>
        <v>0</v>
      </c>
      <c r="H374" s="46" t="e">
        <f t="shared" si="97"/>
        <v>#REF!</v>
      </c>
      <c r="I374" s="734" t="e">
        <f>H374/G374*100</f>
        <v>#REF!</v>
      </c>
      <c r="J374" s="47"/>
      <c r="K374" s="139"/>
      <c r="L374" s="139"/>
      <c r="M374" s="139"/>
      <c r="N374" s="140"/>
      <c r="O374" s="140"/>
      <c r="P374" s="140"/>
    </row>
    <row r="375" spans="1:16" s="141" customFormat="1" ht="24" hidden="1" customHeight="1" x14ac:dyDescent="0.25">
      <c r="A375" s="173"/>
      <c r="B375" s="276"/>
      <c r="C375" s="173"/>
      <c r="D375" s="577"/>
      <c r="E375" s="137"/>
      <c r="F375" s="137"/>
      <c r="G375" s="38"/>
      <c r="H375" s="39" t="e">
        <f>G375-#REF!</f>
        <v>#REF!</v>
      </c>
      <c r="I375" s="734" t="e">
        <f>H375/G375*100</f>
        <v>#REF!</v>
      </c>
      <c r="J375" s="89"/>
      <c r="K375" s="139"/>
      <c r="L375" s="139"/>
      <c r="M375" s="139"/>
      <c r="N375" s="140"/>
      <c r="O375" s="140"/>
      <c r="P375" s="140"/>
    </row>
    <row r="376" spans="1:16" s="141" customFormat="1" ht="16.5" hidden="1" customHeight="1" x14ac:dyDescent="0.25">
      <c r="A376" s="173"/>
      <c r="B376" s="276"/>
      <c r="C376" s="173"/>
      <c r="D376" s="277"/>
      <c r="E376" s="77"/>
      <c r="F376" s="278"/>
      <c r="G376" s="278"/>
      <c r="H376" s="278"/>
      <c r="I376" s="734" t="e">
        <f>H376/G376*100</f>
        <v>#DIV/0!</v>
      </c>
      <c r="J376" s="209"/>
      <c r="K376" s="139"/>
      <c r="L376" s="139"/>
      <c r="M376" s="139"/>
      <c r="N376" s="140"/>
      <c r="O376" s="140"/>
      <c r="P376" s="140"/>
    </row>
    <row r="377" spans="1:16" ht="27" hidden="1" customHeight="1" x14ac:dyDescent="0.3">
      <c r="A377" s="185"/>
      <c r="B377" s="167"/>
      <c r="C377" s="219"/>
      <c r="D377" s="557" t="s">
        <v>15</v>
      </c>
      <c r="E377" s="279">
        <f t="shared" ref="E377:H377" si="98">SUM(E378:E386)</f>
        <v>0</v>
      </c>
      <c r="F377" s="280">
        <f t="shared" si="98"/>
        <v>0</v>
      </c>
      <c r="G377" s="280">
        <f t="shared" si="98"/>
        <v>0</v>
      </c>
      <c r="H377" s="280" t="e">
        <f t="shared" si="98"/>
        <v>#REF!</v>
      </c>
      <c r="I377" s="734" t="e">
        <f>H377/G377*100</f>
        <v>#REF!</v>
      </c>
      <c r="J377" s="281"/>
      <c r="K377" s="25"/>
      <c r="L377" s="25"/>
      <c r="M377" s="25"/>
    </row>
    <row r="378" spans="1:16" ht="26.25" hidden="1" customHeight="1" x14ac:dyDescent="0.25">
      <c r="A378" s="187"/>
      <c r="B378" s="188"/>
      <c r="C378" s="212">
        <v>3132</v>
      </c>
      <c r="D378" s="609"/>
      <c r="E378" s="215"/>
      <c r="F378" s="215"/>
      <c r="G378" s="37"/>
      <c r="H378" s="39" t="e">
        <f>G378-#REF!</f>
        <v>#REF!</v>
      </c>
      <c r="I378" s="734" t="e">
        <f>H378/G378*100</f>
        <v>#REF!</v>
      </c>
      <c r="J378" s="89"/>
      <c r="K378" s="25"/>
      <c r="L378" s="25"/>
      <c r="M378" s="25"/>
    </row>
    <row r="379" spans="1:16" ht="26.25" hidden="1" customHeight="1" x14ac:dyDescent="0.25">
      <c r="A379" s="187"/>
      <c r="B379" s="188"/>
      <c r="C379" s="212"/>
      <c r="D379" s="609"/>
      <c r="E379" s="215"/>
      <c r="F379" s="215"/>
      <c r="G379" s="37"/>
      <c r="H379" s="39" t="e">
        <f>G379-#REF!</f>
        <v>#REF!</v>
      </c>
      <c r="I379" s="734" t="e">
        <f>H379/G379*100</f>
        <v>#REF!</v>
      </c>
      <c r="J379" s="89"/>
      <c r="K379" s="25"/>
      <c r="L379" s="25"/>
      <c r="M379" s="25"/>
    </row>
    <row r="380" spans="1:16" ht="26.25" hidden="1" customHeight="1" x14ac:dyDescent="0.25">
      <c r="A380" s="187"/>
      <c r="B380" s="188"/>
      <c r="C380" s="212"/>
      <c r="D380" s="609"/>
      <c r="E380" s="215"/>
      <c r="F380" s="215"/>
      <c r="G380" s="37"/>
      <c r="H380" s="39" t="e">
        <f>G380-#REF!</f>
        <v>#REF!</v>
      </c>
      <c r="I380" s="734" t="e">
        <f>H380/G380*100</f>
        <v>#REF!</v>
      </c>
      <c r="J380" s="89"/>
      <c r="K380" s="25"/>
      <c r="L380" s="25"/>
      <c r="M380" s="25"/>
    </row>
    <row r="381" spans="1:16" ht="26.25" hidden="1" customHeight="1" x14ac:dyDescent="0.3">
      <c r="A381" s="187"/>
      <c r="B381" s="188"/>
      <c r="C381" s="212"/>
      <c r="D381" s="543"/>
      <c r="E381" s="215"/>
      <c r="F381" s="215"/>
      <c r="G381" s="215"/>
      <c r="H381" s="39" t="e">
        <f>G381-#REF!</f>
        <v>#REF!</v>
      </c>
      <c r="I381" s="734" t="e">
        <f>H381/G381*100</f>
        <v>#REF!</v>
      </c>
      <c r="J381" s="89"/>
      <c r="K381" s="25"/>
      <c r="L381" s="25"/>
      <c r="M381" s="25"/>
    </row>
    <row r="382" spans="1:16" ht="26.25" hidden="1" customHeight="1" x14ac:dyDescent="0.3">
      <c r="A382" s="187"/>
      <c r="B382" s="188"/>
      <c r="C382" s="212"/>
      <c r="D382" s="543"/>
      <c r="E382" s="215"/>
      <c r="F382" s="215"/>
      <c r="G382" s="215"/>
      <c r="H382" s="39" t="e">
        <f>G382-#REF!</f>
        <v>#REF!</v>
      </c>
      <c r="I382" s="734" t="e">
        <f>H382/G382*100</f>
        <v>#REF!</v>
      </c>
      <c r="J382" s="89"/>
      <c r="K382" s="25"/>
      <c r="L382" s="25"/>
      <c r="M382" s="25"/>
    </row>
    <row r="383" spans="1:16" ht="26.25" hidden="1" customHeight="1" x14ac:dyDescent="0.25">
      <c r="A383" s="187"/>
      <c r="B383" s="188"/>
      <c r="C383" s="212"/>
      <c r="D383" s="609"/>
      <c r="E383" s="215"/>
      <c r="F383" s="215"/>
      <c r="G383" s="37"/>
      <c r="H383" s="39" t="e">
        <f>G383-#REF!</f>
        <v>#REF!</v>
      </c>
      <c r="I383" s="734" t="e">
        <f>H383/G383*100</f>
        <v>#REF!</v>
      </c>
      <c r="J383" s="89"/>
      <c r="K383" s="25"/>
      <c r="L383" s="25"/>
      <c r="M383" s="25"/>
    </row>
    <row r="384" spans="1:16" ht="26.25" hidden="1" customHeight="1" x14ac:dyDescent="0.25">
      <c r="A384" s="187"/>
      <c r="B384" s="188"/>
      <c r="C384" s="212"/>
      <c r="D384" s="579"/>
      <c r="E384" s="215"/>
      <c r="F384" s="215"/>
      <c r="G384" s="38"/>
      <c r="H384" s="39" t="e">
        <f>G384-#REF!</f>
        <v>#REF!</v>
      </c>
      <c r="I384" s="734" t="e">
        <f>H384/G384*100</f>
        <v>#REF!</v>
      </c>
      <c r="J384" s="89"/>
      <c r="K384" s="25"/>
      <c r="L384" s="25"/>
      <c r="M384" s="25"/>
    </row>
    <row r="385" spans="1:16" ht="26.25" hidden="1" customHeight="1" x14ac:dyDescent="0.25">
      <c r="A385" s="187"/>
      <c r="B385" s="188"/>
      <c r="C385" s="212"/>
      <c r="D385" s="579"/>
      <c r="E385" s="215"/>
      <c r="F385" s="215"/>
      <c r="G385" s="37"/>
      <c r="H385" s="39" t="e">
        <f>G385-#REF!</f>
        <v>#REF!</v>
      </c>
      <c r="I385" s="734" t="e">
        <f>H385/G385*100</f>
        <v>#REF!</v>
      </c>
      <c r="J385" s="89"/>
      <c r="K385" s="25"/>
      <c r="L385" s="25"/>
      <c r="M385" s="25"/>
    </row>
    <row r="386" spans="1:16" ht="26.25" hidden="1" customHeight="1" x14ac:dyDescent="0.25">
      <c r="A386" s="187"/>
      <c r="B386" s="188"/>
      <c r="C386" s="212"/>
      <c r="D386" s="579"/>
      <c r="E386" s="215"/>
      <c r="F386" s="215"/>
      <c r="G386" s="37"/>
      <c r="H386" s="39" t="e">
        <f>G386-#REF!</f>
        <v>#REF!</v>
      </c>
      <c r="I386" s="734" t="e">
        <f>H386/G386*100</f>
        <v>#REF!</v>
      </c>
      <c r="J386" s="89"/>
      <c r="K386" s="25"/>
      <c r="L386" s="25"/>
      <c r="M386" s="25"/>
    </row>
    <row r="387" spans="1:16" ht="18" hidden="1" customHeight="1" x14ac:dyDescent="0.3">
      <c r="A387" s="187"/>
      <c r="B387" s="196"/>
      <c r="C387" s="187"/>
      <c r="D387" s="610"/>
      <c r="E387" s="282"/>
      <c r="F387" s="38"/>
      <c r="G387" s="38"/>
      <c r="H387" s="39"/>
      <c r="I387" s="734" t="e">
        <f>H387/G387*100</f>
        <v>#DIV/0!</v>
      </c>
      <c r="J387" s="64"/>
      <c r="K387" s="25"/>
      <c r="L387" s="25"/>
      <c r="M387" s="25"/>
    </row>
    <row r="388" spans="1:16" s="289" customFormat="1" ht="36" customHeight="1" x14ac:dyDescent="0.3">
      <c r="A388" s="283" t="s">
        <v>87</v>
      </c>
      <c r="B388" s="284"/>
      <c r="C388" s="285"/>
      <c r="D388" s="286" t="s">
        <v>88</v>
      </c>
      <c r="E388" s="287">
        <f t="shared" ref="E388:G388" si="99">E480+E486+E389+E395+E502+E510+E522+E536+E597+E601+E608</f>
        <v>119883355</v>
      </c>
      <c r="F388" s="287">
        <f t="shared" si="99"/>
        <v>102009873</v>
      </c>
      <c r="G388" s="287">
        <f t="shared" si="99"/>
        <v>43648602</v>
      </c>
      <c r="H388" s="287">
        <f>H395+H480+H510+H536+H601+H608</f>
        <v>18299041.599999998</v>
      </c>
      <c r="I388" s="742">
        <f>H388/G388*100</f>
        <v>41.923545684235194</v>
      </c>
      <c r="J388" s="288"/>
      <c r="K388" s="232">
        <f>H388+150000-45600</f>
        <v>18403441.599999998</v>
      </c>
      <c r="L388" s="232">
        <f>I388+200000-45600</f>
        <v>154441.92354568423</v>
      </c>
      <c r="M388" s="233"/>
      <c r="N388" s="234"/>
      <c r="O388" s="234"/>
      <c r="P388" s="234"/>
    </row>
    <row r="389" spans="1:16" s="249" customFormat="1" ht="24" hidden="1" customHeight="1" x14ac:dyDescent="0.3">
      <c r="A389" s="206">
        <v>3110160</v>
      </c>
      <c r="B389" s="175" t="s">
        <v>61</v>
      </c>
      <c r="C389" s="206"/>
      <c r="D389" s="558"/>
      <c r="E389" s="27">
        <f t="shared" ref="E389:H389" si="100">E390+E392</f>
        <v>0</v>
      </c>
      <c r="F389" s="208">
        <f t="shared" si="100"/>
        <v>0</v>
      </c>
      <c r="G389" s="208">
        <f t="shared" si="100"/>
        <v>0</v>
      </c>
      <c r="H389" s="208" t="e">
        <f t="shared" si="100"/>
        <v>#REF!</v>
      </c>
      <c r="I389" s="741" t="e">
        <f>H389/G389*100</f>
        <v>#REF!</v>
      </c>
      <c r="J389" s="209"/>
      <c r="K389" s="247"/>
      <c r="L389" s="247"/>
      <c r="M389" s="247"/>
      <c r="N389" s="248"/>
      <c r="O389" s="248"/>
      <c r="P389" s="248"/>
    </row>
    <row r="390" spans="1:16" s="53" customFormat="1" ht="27.75" hidden="1" customHeight="1" x14ac:dyDescent="0.3">
      <c r="A390" s="211"/>
      <c r="B390" s="290"/>
      <c r="C390" s="211"/>
      <c r="D390" s="557" t="s">
        <v>16</v>
      </c>
      <c r="E390" s="106">
        <f t="shared" ref="E390:H390" si="101">SUM(E391)</f>
        <v>0</v>
      </c>
      <c r="F390" s="63">
        <f t="shared" si="101"/>
        <v>0</v>
      </c>
      <c r="G390" s="63">
        <f t="shared" si="101"/>
        <v>0</v>
      </c>
      <c r="H390" s="63" t="e">
        <f t="shared" si="101"/>
        <v>#REF!</v>
      </c>
      <c r="I390" s="741" t="e">
        <f>H390/G390*100</f>
        <v>#REF!</v>
      </c>
      <c r="J390" s="107"/>
      <c r="K390" s="291"/>
      <c r="L390" s="291"/>
      <c r="M390" s="51"/>
      <c r="N390" s="52"/>
      <c r="O390" s="52"/>
      <c r="P390" s="52"/>
    </row>
    <row r="391" spans="1:16" hidden="1" x14ac:dyDescent="0.25">
      <c r="A391" s="187"/>
      <c r="B391" s="177"/>
      <c r="C391" s="212">
        <v>3142</v>
      </c>
      <c r="D391" s="591"/>
      <c r="E391" s="54"/>
      <c r="F391" s="38"/>
      <c r="G391" s="38"/>
      <c r="H391" s="39" t="e">
        <f>G391-#REF!</f>
        <v>#REF!</v>
      </c>
      <c r="I391" s="741" t="e">
        <f>H391/G391*100</f>
        <v>#REF!</v>
      </c>
      <c r="J391" s="89"/>
      <c r="K391" s="25"/>
      <c r="L391" s="25"/>
      <c r="M391" s="25"/>
    </row>
    <row r="392" spans="1:16" s="53" customFormat="1" ht="35.25" hidden="1" customHeight="1" x14ac:dyDescent="0.3">
      <c r="A392" s="185"/>
      <c r="B392" s="167"/>
      <c r="C392" s="211"/>
      <c r="D392" s="557" t="s">
        <v>15</v>
      </c>
      <c r="E392" s="63">
        <f t="shared" ref="E392:H392" si="102">SUM(E393:E394)</f>
        <v>0</v>
      </c>
      <c r="F392" s="63">
        <f t="shared" si="102"/>
        <v>0</v>
      </c>
      <c r="G392" s="63">
        <f t="shared" si="102"/>
        <v>0</v>
      </c>
      <c r="H392" s="63" t="e">
        <f t="shared" si="102"/>
        <v>#REF!</v>
      </c>
      <c r="I392" s="741" t="e">
        <f>H392/G392*100</f>
        <v>#REF!</v>
      </c>
      <c r="J392" s="64"/>
      <c r="K392" s="51"/>
      <c r="L392" s="51"/>
      <c r="M392" s="51"/>
      <c r="N392" s="52"/>
      <c r="O392" s="52"/>
      <c r="P392" s="52"/>
    </row>
    <row r="393" spans="1:16" ht="42" hidden="1" customHeight="1" x14ac:dyDescent="0.25">
      <c r="A393" s="187"/>
      <c r="B393" s="212"/>
      <c r="C393" s="212">
        <v>3132</v>
      </c>
      <c r="D393" s="603"/>
      <c r="E393" s="147"/>
      <c r="F393" s="54"/>
      <c r="G393" s="38"/>
      <c r="H393" s="39" t="e">
        <f>G393-#REF!</f>
        <v>#REF!</v>
      </c>
      <c r="I393" s="741" t="e">
        <f>H393/G393*100</f>
        <v>#REF!</v>
      </c>
      <c r="J393" s="89"/>
      <c r="K393" s="25"/>
      <c r="L393" s="25"/>
      <c r="M393" s="25"/>
    </row>
    <row r="394" spans="1:16" ht="16.5" hidden="1" customHeight="1" x14ac:dyDescent="0.25">
      <c r="A394" s="187"/>
      <c r="B394" s="212"/>
      <c r="C394" s="212"/>
      <c r="D394" s="587"/>
      <c r="E394" s="147"/>
      <c r="F394" s="54"/>
      <c r="G394" s="38"/>
      <c r="H394" s="39"/>
      <c r="I394" s="741" t="e">
        <f>H394/G394*100</f>
        <v>#DIV/0!</v>
      </c>
      <c r="J394" s="89"/>
      <c r="K394" s="25"/>
      <c r="L394" s="25"/>
      <c r="M394" s="25"/>
    </row>
    <row r="395" spans="1:16" s="249" customFormat="1" ht="18.75" customHeight="1" x14ac:dyDescent="0.25">
      <c r="A395" s="206">
        <v>3116030</v>
      </c>
      <c r="B395" s="206">
        <v>6030</v>
      </c>
      <c r="C395" s="206"/>
      <c r="D395" s="588"/>
      <c r="E395" s="208">
        <f t="shared" ref="E395:H395" si="103">E396+E477</f>
        <v>75475000</v>
      </c>
      <c r="F395" s="208">
        <f t="shared" si="103"/>
        <v>49922958</v>
      </c>
      <c r="G395" s="208">
        <f t="shared" si="103"/>
        <v>22960122</v>
      </c>
      <c r="H395" s="208">
        <f t="shared" si="103"/>
        <v>13951816.33</v>
      </c>
      <c r="I395" s="745">
        <f>H395/G395*100</f>
        <v>60.765427683703081</v>
      </c>
      <c r="J395" s="275"/>
      <c r="K395" s="246"/>
      <c r="L395" s="246"/>
      <c r="M395" s="247"/>
      <c r="N395" s="247"/>
      <c r="O395" s="248"/>
      <c r="P395" s="248"/>
    </row>
    <row r="396" spans="1:16" s="53" customFormat="1" ht="20.25" customHeight="1" x14ac:dyDescent="0.3">
      <c r="A396" s="211"/>
      <c r="B396" s="211"/>
      <c r="C396" s="211"/>
      <c r="D396" s="557" t="s">
        <v>15</v>
      </c>
      <c r="E396" s="292">
        <f t="shared" ref="E396:J396" si="104">E397+E424+E431+E435+E438+E447+E453+E461</f>
        <v>73975000</v>
      </c>
      <c r="F396" s="292">
        <f>F397+F424+F431+F435+F438+F447+F453+F461+F468</f>
        <v>48422958</v>
      </c>
      <c r="G396" s="292">
        <f t="shared" ref="G396" si="105">G397+G424+G431+G435+G438+G447+G453+G461+G468</f>
        <v>22960122</v>
      </c>
      <c r="H396" s="292">
        <f>H397+H424+H438+H453+H461+H468</f>
        <v>13951816.33</v>
      </c>
      <c r="I396" s="744">
        <f>H396/G396*100</f>
        <v>60.765427683703081</v>
      </c>
      <c r="J396" s="292">
        <f t="shared" si="104"/>
        <v>0</v>
      </c>
      <c r="K396" s="50"/>
      <c r="L396" s="50"/>
      <c r="M396" s="51"/>
      <c r="N396" s="52"/>
      <c r="O396" s="52"/>
      <c r="P396" s="52"/>
    </row>
    <row r="397" spans="1:16" ht="21" customHeight="1" x14ac:dyDescent="0.25">
      <c r="A397" s="293"/>
      <c r="B397" s="212">
        <v>3116030</v>
      </c>
      <c r="C397" s="212">
        <v>3132</v>
      </c>
      <c r="D397" s="611" t="s">
        <v>89</v>
      </c>
      <c r="E397" s="294">
        <f t="shared" ref="E397:G397" si="106">SUM(E398:E422)</f>
        <v>65500000</v>
      </c>
      <c r="F397" s="294">
        <f t="shared" si="106"/>
        <v>33584720</v>
      </c>
      <c r="G397" s="294">
        <f t="shared" si="106"/>
        <v>19740465</v>
      </c>
      <c r="H397" s="294">
        <f>SUM(H398:H407)</f>
        <v>11316332.01</v>
      </c>
      <c r="I397" s="741">
        <f>H397/G397*100</f>
        <v>57.325559504297388</v>
      </c>
      <c r="J397" s="275"/>
      <c r="K397" s="25"/>
      <c r="L397" s="25"/>
      <c r="M397" s="25"/>
    </row>
    <row r="398" spans="1:16" ht="37.5" customHeight="1" x14ac:dyDescent="0.25">
      <c r="A398" s="293"/>
      <c r="B398" s="212"/>
      <c r="C398" s="212"/>
      <c r="D398" s="612" t="s">
        <v>164</v>
      </c>
      <c r="E398" s="519">
        <v>4000000</v>
      </c>
      <c r="F398" s="519">
        <f>4000000+512391</f>
        <v>4512391</v>
      </c>
      <c r="G398" s="501">
        <f>2512391-650000+2650000</f>
        <v>4512391</v>
      </c>
      <c r="H398" s="39"/>
      <c r="I398" s="734">
        <f>H398/G398*100</f>
        <v>0</v>
      </c>
      <c r="J398" s="89"/>
      <c r="K398" s="25"/>
      <c r="L398" s="25"/>
      <c r="M398" s="25"/>
    </row>
    <row r="399" spans="1:16" ht="34.5" customHeight="1" x14ac:dyDescent="0.25">
      <c r="A399" s="293"/>
      <c r="B399" s="212"/>
      <c r="C399" s="212"/>
      <c r="D399" s="612" t="s">
        <v>165</v>
      </c>
      <c r="E399" s="519">
        <v>16644236</v>
      </c>
      <c r="F399" s="519">
        <f>16644236-700000</f>
        <v>15944236</v>
      </c>
      <c r="G399" s="502">
        <f>2644236-700000-1010+2000000-2000000-139947+2000000</f>
        <v>3803279</v>
      </c>
      <c r="H399" s="39"/>
      <c r="I399" s="734">
        <f>H399/G399*100</f>
        <v>0</v>
      </c>
      <c r="J399" s="89"/>
      <c r="K399" s="25"/>
      <c r="L399" s="25"/>
      <c r="M399" s="25"/>
    </row>
    <row r="400" spans="1:16" ht="75" customHeight="1" x14ac:dyDescent="0.25">
      <c r="A400" s="293"/>
      <c r="B400" s="212"/>
      <c r="C400" s="212"/>
      <c r="D400" s="612" t="s">
        <v>166</v>
      </c>
      <c r="E400" s="519">
        <f>13418912-63148</f>
        <v>13355764</v>
      </c>
      <c r="F400" s="519">
        <f>13418912-63148-2000000</f>
        <v>11355764</v>
      </c>
      <c r="G400" s="502">
        <f>1211528+644236-644236-1211528+500000+244127+1951939+625329+51600+3951800+2000000+1000000+1000000</f>
        <v>11324795</v>
      </c>
      <c r="H400" s="147">
        <f>11316332.01</f>
        <v>11316332.01</v>
      </c>
      <c r="I400" s="734">
        <f>H400/G400*100</f>
        <v>99.925270258755233</v>
      </c>
      <c r="J400" s="89"/>
      <c r="K400" s="25"/>
      <c r="L400" s="25"/>
      <c r="M400" s="25"/>
    </row>
    <row r="401" spans="1:13" ht="23.25" customHeight="1" x14ac:dyDescent="0.25">
      <c r="A401" s="293"/>
      <c r="B401" s="212"/>
      <c r="C401" s="212"/>
      <c r="D401" s="612" t="s">
        <v>167</v>
      </c>
      <c r="E401" s="519">
        <v>3000000</v>
      </c>
      <c r="F401" s="519">
        <f>3000000-3000000</f>
        <v>0</v>
      </c>
      <c r="G401" s="502">
        <f>1000000-1000000</f>
        <v>0</v>
      </c>
      <c r="H401" s="487"/>
      <c r="I401" s="734"/>
      <c r="J401" s="89"/>
      <c r="K401" s="25"/>
      <c r="L401" s="25"/>
      <c r="M401" s="25"/>
    </row>
    <row r="402" spans="1:13" ht="22.5" customHeight="1" x14ac:dyDescent="0.25">
      <c r="A402" s="293"/>
      <c r="B402" s="212"/>
      <c r="C402" s="212"/>
      <c r="D402" s="612" t="s">
        <v>168</v>
      </c>
      <c r="E402" s="519">
        <v>26500000</v>
      </c>
      <c r="F402" s="519">
        <f>26500000-11617133-4930000-9327538-500000</f>
        <v>125329</v>
      </c>
      <c r="G402" s="502">
        <f>190000-64671-125329</f>
        <v>0</v>
      </c>
      <c r="H402" s="39"/>
      <c r="I402" s="734"/>
      <c r="J402" s="89"/>
      <c r="K402" s="25"/>
      <c r="L402" s="25"/>
      <c r="M402" s="25"/>
    </row>
    <row r="403" spans="1:13" ht="75" customHeight="1" x14ac:dyDescent="0.25">
      <c r="A403" s="293"/>
      <c r="B403" s="212"/>
      <c r="C403" s="212"/>
      <c r="D403" s="612" t="s">
        <v>169</v>
      </c>
      <c r="E403" s="519">
        <v>2000000</v>
      </c>
      <c r="F403" s="519">
        <f>2000000-1500000</f>
        <v>500000</v>
      </c>
      <c r="G403" s="502">
        <f>100000</f>
        <v>100000</v>
      </c>
      <c r="H403" s="39"/>
      <c r="I403" s="734">
        <f>H403/G403*100</f>
        <v>0</v>
      </c>
      <c r="J403" s="89"/>
      <c r="K403" s="25"/>
      <c r="L403" s="25"/>
      <c r="M403" s="25"/>
    </row>
    <row r="404" spans="1:13" ht="78.75" x14ac:dyDescent="0.25">
      <c r="A404" s="293"/>
      <c r="B404" s="212"/>
      <c r="C404" s="212"/>
      <c r="D404" s="687" t="s">
        <v>244</v>
      </c>
      <c r="E404" s="261"/>
      <c r="F404" s="501">
        <f>49000</f>
        <v>49000</v>
      </c>
      <c r="G404" s="502"/>
      <c r="H404" s="39"/>
      <c r="I404" s="734"/>
      <c r="J404" s="89"/>
      <c r="K404" s="25"/>
      <c r="L404" s="25"/>
      <c r="M404" s="25"/>
    </row>
    <row r="405" spans="1:13" ht="31.5" x14ac:dyDescent="0.25">
      <c r="A405" s="293"/>
      <c r="B405" s="212"/>
      <c r="C405" s="212"/>
      <c r="D405" s="687" t="s">
        <v>245</v>
      </c>
      <c r="E405" s="261"/>
      <c r="F405" s="501">
        <f>49000</f>
        <v>49000</v>
      </c>
      <c r="G405" s="502"/>
      <c r="H405" s="39"/>
      <c r="I405" s="734"/>
      <c r="J405" s="89"/>
      <c r="K405" s="25"/>
      <c r="L405" s="25"/>
      <c r="M405" s="25"/>
    </row>
    <row r="406" spans="1:13" ht="43.5" customHeight="1" x14ac:dyDescent="0.25">
      <c r="A406" s="293"/>
      <c r="B406" s="212"/>
      <c r="C406" s="212"/>
      <c r="D406" s="687" t="s">
        <v>246</v>
      </c>
      <c r="E406" s="261"/>
      <c r="F406" s="501">
        <f>49000</f>
        <v>49000</v>
      </c>
      <c r="G406" s="502"/>
      <c r="H406" s="39"/>
      <c r="I406" s="734"/>
      <c r="J406" s="89"/>
      <c r="K406" s="25"/>
      <c r="L406" s="25"/>
      <c r="M406" s="25"/>
    </row>
    <row r="407" spans="1:13" ht="31.5" x14ac:dyDescent="0.25">
      <c r="A407" s="293"/>
      <c r="B407" s="212"/>
      <c r="C407" s="212"/>
      <c r="D407" s="687" t="s">
        <v>247</v>
      </c>
      <c r="E407" s="261"/>
      <c r="F407" s="501">
        <f>1000000</f>
        <v>1000000</v>
      </c>
      <c r="G407" s="502"/>
      <c r="H407" s="39"/>
      <c r="I407" s="734"/>
      <c r="J407" s="89"/>
      <c r="K407" s="25"/>
      <c r="L407" s="25"/>
      <c r="M407" s="25"/>
    </row>
    <row r="408" spans="1:13" hidden="1" x14ac:dyDescent="0.3">
      <c r="A408" s="293"/>
      <c r="B408" s="212"/>
      <c r="C408" s="212"/>
      <c r="D408" s="613"/>
      <c r="E408" s="261"/>
      <c r="F408" s="40"/>
      <c r="G408" s="40"/>
      <c r="H408" s="39" t="e">
        <f>G408-#REF!</f>
        <v>#REF!</v>
      </c>
      <c r="I408" s="734"/>
      <c r="J408" s="89"/>
      <c r="K408" s="25"/>
      <c r="L408" s="25"/>
      <c r="M408" s="25"/>
    </row>
    <row r="409" spans="1:13" hidden="1" x14ac:dyDescent="0.25">
      <c r="A409" s="293"/>
      <c r="B409" s="212"/>
      <c r="C409" s="212"/>
      <c r="D409" s="614"/>
      <c r="E409" s="261"/>
      <c r="F409" s="40"/>
      <c r="G409" s="40"/>
      <c r="H409" s="39" t="e">
        <f>G409-#REF!</f>
        <v>#REF!</v>
      </c>
      <c r="I409" s="734"/>
      <c r="J409" s="89"/>
      <c r="K409" s="25"/>
      <c r="L409" s="25"/>
      <c r="M409" s="25"/>
    </row>
    <row r="410" spans="1:13" hidden="1" x14ac:dyDescent="0.25">
      <c r="A410" s="293"/>
      <c r="B410" s="212"/>
      <c r="C410" s="212"/>
      <c r="D410" s="614"/>
      <c r="E410" s="261"/>
      <c r="F410" s="40"/>
      <c r="G410" s="40"/>
      <c r="H410" s="39" t="e">
        <f>G410-#REF!</f>
        <v>#REF!</v>
      </c>
      <c r="I410" s="734"/>
      <c r="J410" s="89"/>
      <c r="K410" s="25"/>
      <c r="L410" s="25"/>
      <c r="M410" s="25"/>
    </row>
    <row r="411" spans="1:13" hidden="1" x14ac:dyDescent="0.25">
      <c r="A411" s="293"/>
      <c r="B411" s="212"/>
      <c r="C411" s="212"/>
      <c r="D411" s="614"/>
      <c r="E411" s="261"/>
      <c r="F411" s="40"/>
      <c r="G411" s="40"/>
      <c r="H411" s="39" t="e">
        <f>G411-#REF!</f>
        <v>#REF!</v>
      </c>
      <c r="I411" s="734"/>
      <c r="J411" s="89"/>
      <c r="K411" s="25"/>
      <c r="L411" s="25"/>
      <c r="M411" s="25"/>
    </row>
    <row r="412" spans="1:13" hidden="1" x14ac:dyDescent="0.25">
      <c r="A412" s="293"/>
      <c r="B412" s="212"/>
      <c r="C412" s="212"/>
      <c r="D412" s="614"/>
      <c r="E412" s="261"/>
      <c r="F412" s="40"/>
      <c r="G412" s="40"/>
      <c r="H412" s="39" t="e">
        <f>G412-#REF!</f>
        <v>#REF!</v>
      </c>
      <c r="I412" s="734"/>
      <c r="J412" s="89"/>
      <c r="K412" s="25"/>
      <c r="L412" s="25"/>
      <c r="M412" s="25"/>
    </row>
    <row r="413" spans="1:13" hidden="1" x14ac:dyDescent="0.25">
      <c r="A413" s="293"/>
      <c r="B413" s="212"/>
      <c r="C413" s="212"/>
      <c r="D413" s="614"/>
      <c r="E413" s="261"/>
      <c r="F413" s="40"/>
      <c r="G413" s="40"/>
      <c r="H413" s="39" t="e">
        <f>G413-#REF!</f>
        <v>#REF!</v>
      </c>
      <c r="I413" s="734"/>
      <c r="J413" s="89"/>
      <c r="K413" s="25"/>
      <c r="L413" s="25"/>
      <c r="M413" s="25"/>
    </row>
    <row r="414" spans="1:13" hidden="1" x14ac:dyDescent="0.25">
      <c r="A414" s="293"/>
      <c r="B414" s="212"/>
      <c r="C414" s="212"/>
      <c r="D414" s="614"/>
      <c r="E414" s="261"/>
      <c r="F414" s="40"/>
      <c r="G414" s="40"/>
      <c r="H414" s="39" t="e">
        <f>G414-#REF!</f>
        <v>#REF!</v>
      </c>
      <c r="I414" s="734"/>
      <c r="J414" s="89"/>
      <c r="K414" s="25"/>
      <c r="L414" s="25"/>
      <c r="M414" s="25"/>
    </row>
    <row r="415" spans="1:13" hidden="1" x14ac:dyDescent="0.25">
      <c r="A415" s="293"/>
      <c r="B415" s="212"/>
      <c r="C415" s="212"/>
      <c r="D415" s="614"/>
      <c r="E415" s="261"/>
      <c r="F415" s="40"/>
      <c r="G415" s="40"/>
      <c r="H415" s="39" t="e">
        <f>G415-#REF!</f>
        <v>#REF!</v>
      </c>
      <c r="I415" s="734"/>
      <c r="J415" s="89"/>
      <c r="K415" s="25"/>
      <c r="L415" s="25"/>
      <c r="M415" s="25"/>
    </row>
    <row r="416" spans="1:13" hidden="1" x14ac:dyDescent="0.25">
      <c r="A416" s="293"/>
      <c r="B416" s="212"/>
      <c r="C416" s="212"/>
      <c r="D416" s="614"/>
      <c r="E416" s="261"/>
      <c r="F416" s="40"/>
      <c r="G416" s="40"/>
      <c r="H416" s="39" t="e">
        <f>G416-#REF!</f>
        <v>#REF!</v>
      </c>
      <c r="I416" s="734"/>
      <c r="J416" s="89"/>
      <c r="K416" s="25"/>
      <c r="L416" s="25"/>
      <c r="M416" s="25"/>
    </row>
    <row r="417" spans="1:14" hidden="1" x14ac:dyDescent="0.25">
      <c r="A417" s="293"/>
      <c r="B417" s="212"/>
      <c r="C417" s="212"/>
      <c r="D417" s="614"/>
      <c r="E417" s="261"/>
      <c r="F417" s="40"/>
      <c r="G417" s="40"/>
      <c r="H417" s="39" t="e">
        <f>G417-#REF!</f>
        <v>#REF!</v>
      </c>
      <c r="I417" s="734"/>
      <c r="J417" s="89"/>
      <c r="K417" s="25"/>
      <c r="L417" s="25"/>
      <c r="M417" s="25"/>
    </row>
    <row r="418" spans="1:14" hidden="1" x14ac:dyDescent="0.25">
      <c r="A418" s="293"/>
      <c r="B418" s="212"/>
      <c r="C418" s="212"/>
      <c r="D418" s="614"/>
      <c r="E418" s="261"/>
      <c r="F418" s="40"/>
      <c r="G418" s="40"/>
      <c r="H418" s="39" t="e">
        <f>G418-#REF!</f>
        <v>#REF!</v>
      </c>
      <c r="I418" s="734"/>
      <c r="J418" s="89"/>
      <c r="K418" s="25"/>
      <c r="L418" s="25"/>
      <c r="M418" s="25"/>
    </row>
    <row r="419" spans="1:14" ht="31.5" hidden="1" customHeight="1" x14ac:dyDescent="0.25">
      <c r="A419" s="293"/>
      <c r="B419" s="212"/>
      <c r="C419" s="212"/>
      <c r="D419" s="615"/>
      <c r="E419" s="119"/>
      <c r="F419" s="119"/>
      <c r="G419" s="296"/>
      <c r="H419" s="39" t="e">
        <f>G419-#REF!</f>
        <v>#REF!</v>
      </c>
      <c r="I419" s="734"/>
      <c r="J419" s="89"/>
      <c r="K419" s="25"/>
      <c r="L419" s="25"/>
      <c r="M419" s="25"/>
    </row>
    <row r="420" spans="1:14" hidden="1" x14ac:dyDescent="0.25">
      <c r="A420" s="187"/>
      <c r="B420" s="297"/>
      <c r="C420" s="214"/>
      <c r="D420" s="615"/>
      <c r="E420" s="119"/>
      <c r="F420" s="510"/>
      <c r="G420" s="493"/>
      <c r="H420" s="39" t="e">
        <f>G420-#REF!</f>
        <v>#REF!</v>
      </c>
      <c r="I420" s="734"/>
      <c r="J420" s="89"/>
      <c r="K420" s="25"/>
      <c r="L420" s="25"/>
      <c r="M420" s="25"/>
    </row>
    <row r="421" spans="1:14" hidden="1" x14ac:dyDescent="0.25">
      <c r="A421" s="187"/>
      <c r="B421" s="297"/>
      <c r="C421" s="214"/>
      <c r="D421" s="616"/>
      <c r="E421" s="296"/>
      <c r="F421" s="298"/>
      <c r="G421" s="493"/>
      <c r="H421" s="39" t="e">
        <f>G421-#REF!</f>
        <v>#REF!</v>
      </c>
      <c r="I421" s="734"/>
      <c r="J421" s="89"/>
      <c r="K421" s="25"/>
      <c r="L421" s="25"/>
      <c r="M421" s="25"/>
    </row>
    <row r="422" spans="1:14" ht="14.25" hidden="1" customHeight="1" x14ac:dyDescent="0.25">
      <c r="A422" s="187"/>
      <c r="B422" s="297"/>
      <c r="C422" s="214"/>
      <c r="D422" s="616"/>
      <c r="E422" s="296"/>
      <c r="F422" s="119"/>
      <c r="G422" s="296"/>
      <c r="H422" s="39"/>
      <c r="I422" s="734"/>
      <c r="J422" s="299"/>
      <c r="K422" s="25"/>
      <c r="L422" s="25"/>
      <c r="M422" s="25"/>
    </row>
    <row r="423" spans="1:14" ht="14.25" customHeight="1" x14ac:dyDescent="0.25">
      <c r="A423" s="187"/>
      <c r="B423" s="297"/>
      <c r="C423" s="214"/>
      <c r="D423" s="616"/>
      <c r="E423" s="296"/>
      <c r="F423" s="119"/>
      <c r="G423" s="296"/>
      <c r="H423" s="39"/>
      <c r="I423" s="734"/>
      <c r="J423" s="299"/>
      <c r="K423" s="25"/>
      <c r="L423" s="25"/>
      <c r="M423" s="25"/>
    </row>
    <row r="424" spans="1:14" ht="21" customHeight="1" x14ac:dyDescent="0.3">
      <c r="A424" s="187"/>
      <c r="B424" s="212">
        <v>3116030</v>
      </c>
      <c r="C424" s="212">
        <v>3132</v>
      </c>
      <c r="D424" s="515" t="s">
        <v>90</v>
      </c>
      <c r="E424" s="301">
        <f t="shared" ref="E424:F424" si="107">SUM(E425:E430)</f>
        <v>0</v>
      </c>
      <c r="F424" s="278">
        <f t="shared" si="107"/>
        <v>0</v>
      </c>
      <c r="G424" s="301">
        <f>SUM(G425:G430)</f>
        <v>0</v>
      </c>
      <c r="H424" s="301">
        <f>H425</f>
        <v>0</v>
      </c>
      <c r="I424" s="734"/>
      <c r="J424" s="302"/>
      <c r="K424" s="303"/>
      <c r="L424" s="303"/>
      <c r="M424" s="303"/>
      <c r="N424" s="303"/>
    </row>
    <row r="425" spans="1:14" ht="54.75" customHeight="1" x14ac:dyDescent="0.3">
      <c r="A425" s="187"/>
      <c r="B425" s="297"/>
      <c r="C425" s="214"/>
      <c r="D425" s="669" t="s">
        <v>227</v>
      </c>
      <c r="E425" s="295"/>
      <c r="F425" s="295">
        <f>1500000-1500000</f>
        <v>0</v>
      </c>
      <c r="G425" s="119"/>
      <c r="H425" s="39"/>
      <c r="I425" s="734"/>
      <c r="J425" s="299"/>
      <c r="K425" s="304"/>
      <c r="L425" s="304"/>
      <c r="M425" s="304"/>
      <c r="N425" s="304"/>
    </row>
    <row r="426" spans="1:14" ht="30.75" hidden="1" customHeight="1" x14ac:dyDescent="0.3">
      <c r="A426" s="187"/>
      <c r="B426" s="297"/>
      <c r="C426" s="214"/>
      <c r="D426" s="617"/>
      <c r="E426" s="295"/>
      <c r="F426" s="503"/>
      <c r="G426" s="119"/>
      <c r="H426" s="39" t="e">
        <f>G426-#REF!</f>
        <v>#REF!</v>
      </c>
      <c r="I426" s="734"/>
      <c r="J426" s="299"/>
      <c r="K426" s="304"/>
      <c r="L426" s="304"/>
      <c r="M426" s="304"/>
      <c r="N426" s="304"/>
    </row>
    <row r="427" spans="1:14" ht="30.75" hidden="1" customHeight="1" x14ac:dyDescent="0.3">
      <c r="A427" s="187"/>
      <c r="B427" s="297"/>
      <c r="C427" s="214"/>
      <c r="D427" s="446"/>
      <c r="E427" s="295"/>
      <c r="F427" s="295"/>
      <c r="G427" s="119"/>
      <c r="H427" s="39" t="e">
        <f>G427-#REF!</f>
        <v>#REF!</v>
      </c>
      <c r="I427" s="734"/>
      <c r="J427" s="299"/>
      <c r="K427" s="304"/>
      <c r="L427" s="304"/>
      <c r="M427" s="304"/>
      <c r="N427" s="304"/>
    </row>
    <row r="428" spans="1:14" ht="30.75" hidden="1" customHeight="1" x14ac:dyDescent="0.3">
      <c r="A428" s="187"/>
      <c r="B428" s="297"/>
      <c r="C428" s="214"/>
      <c r="D428" s="446"/>
      <c r="E428" s="295"/>
      <c r="F428" s="295"/>
      <c r="G428" s="119"/>
      <c r="H428" s="39" t="e">
        <f>G428-#REF!</f>
        <v>#REF!</v>
      </c>
      <c r="I428" s="734"/>
      <c r="J428" s="299"/>
      <c r="K428" s="304"/>
      <c r="L428" s="304"/>
      <c r="M428" s="304"/>
      <c r="N428" s="304"/>
    </row>
    <row r="429" spans="1:14" ht="30.75" hidden="1" customHeight="1" x14ac:dyDescent="0.3">
      <c r="A429" s="187"/>
      <c r="B429" s="297"/>
      <c r="C429" s="214"/>
      <c r="D429" s="446"/>
      <c r="E429" s="295"/>
      <c r="F429" s="295"/>
      <c r="G429" s="119"/>
      <c r="H429" s="39" t="e">
        <f>G429-#REF!</f>
        <v>#REF!</v>
      </c>
      <c r="I429" s="734"/>
      <c r="J429" s="299"/>
      <c r="K429" s="304"/>
      <c r="L429" s="304"/>
      <c r="M429" s="304"/>
      <c r="N429" s="304"/>
    </row>
    <row r="430" spans="1:14" ht="15" customHeight="1" x14ac:dyDescent="0.3">
      <c r="A430" s="293"/>
      <c r="B430" s="212"/>
      <c r="C430" s="238"/>
      <c r="D430" s="446"/>
      <c r="E430" s="39"/>
      <c r="F430" s="39"/>
      <c r="G430" s="296"/>
      <c r="H430" s="39"/>
      <c r="I430" s="734"/>
      <c r="J430" s="299"/>
      <c r="K430" s="303"/>
      <c r="L430" s="303"/>
      <c r="M430" s="303"/>
      <c r="N430" s="303"/>
    </row>
    <row r="431" spans="1:14" ht="36" hidden="1" customHeight="1" x14ac:dyDescent="0.3">
      <c r="A431" s="293"/>
      <c r="B431" s="212">
        <v>3116030</v>
      </c>
      <c r="C431" s="212">
        <v>3132</v>
      </c>
      <c r="D431" s="300" t="s">
        <v>91</v>
      </c>
      <c r="E431" s="305">
        <f>SUM(E434:E434)</f>
        <v>0</v>
      </c>
      <c r="F431" s="278">
        <f>SUM(F432:F434)</f>
        <v>0</v>
      </c>
      <c r="G431" s="278">
        <f>SUM(G432:G434)</f>
        <v>0</v>
      </c>
      <c r="H431" s="278" t="e">
        <f>SUM(H432:H434)</f>
        <v>#REF!</v>
      </c>
      <c r="I431" s="734" t="e">
        <f>H431/G431*100</f>
        <v>#REF!</v>
      </c>
      <c r="J431" s="275"/>
      <c r="K431" s="304"/>
      <c r="L431" s="304"/>
      <c r="M431" s="304"/>
      <c r="N431" s="304"/>
    </row>
    <row r="432" spans="1:14" ht="30.75" hidden="1" customHeight="1" x14ac:dyDescent="0.3">
      <c r="A432" s="293"/>
      <c r="B432" s="212"/>
      <c r="C432" s="212"/>
      <c r="D432" s="545"/>
      <c r="E432" s="295"/>
      <c r="F432" s="295"/>
      <c r="G432" s="306"/>
      <c r="H432" s="54" t="e">
        <f>G432-#REF!</f>
        <v>#REF!</v>
      </c>
      <c r="I432" s="734" t="e">
        <f>H432/G432*100</f>
        <v>#REF!</v>
      </c>
      <c r="J432" s="299"/>
      <c r="K432" s="304"/>
      <c r="L432" s="304"/>
      <c r="M432" s="304"/>
      <c r="N432" s="304"/>
    </row>
    <row r="433" spans="1:14" ht="30.75" hidden="1" customHeight="1" x14ac:dyDescent="0.3">
      <c r="A433" s="293"/>
      <c r="B433" s="212"/>
      <c r="C433" s="212"/>
      <c r="D433" s="545"/>
      <c r="E433" s="295"/>
      <c r="F433" s="295"/>
      <c r="G433" s="306"/>
      <c r="H433" s="54" t="e">
        <f>G433-#REF!</f>
        <v>#REF!</v>
      </c>
      <c r="I433" s="734" t="e">
        <f>H433/G433*100</f>
        <v>#REF!</v>
      </c>
      <c r="J433" s="299"/>
      <c r="K433" s="304"/>
      <c r="L433" s="304"/>
      <c r="M433" s="304"/>
      <c r="N433" s="304"/>
    </row>
    <row r="434" spans="1:14" ht="16.5" hidden="1" customHeight="1" x14ac:dyDescent="0.3">
      <c r="A434" s="307"/>
      <c r="B434" s="297"/>
      <c r="C434" s="214"/>
      <c r="D434" s="543"/>
      <c r="E434" s="147"/>
      <c r="F434" s="39"/>
      <c r="G434" s="296"/>
      <c r="H434" s="54" t="e">
        <f>G434-#REF!</f>
        <v>#REF!</v>
      </c>
      <c r="I434" s="734" t="e">
        <f>H434/G434*100</f>
        <v>#REF!</v>
      </c>
      <c r="J434" s="299"/>
      <c r="K434" s="303"/>
      <c r="L434" s="303"/>
      <c r="M434" s="303"/>
      <c r="N434" s="303"/>
    </row>
    <row r="435" spans="1:14" ht="34.5" hidden="1" customHeight="1" x14ac:dyDescent="0.3">
      <c r="A435" s="307"/>
      <c r="B435" s="212">
        <v>3116030</v>
      </c>
      <c r="C435" s="212">
        <v>3132</v>
      </c>
      <c r="D435" s="618" t="s">
        <v>151</v>
      </c>
      <c r="E435" s="308">
        <f t="shared" ref="E435:G435" si="108">SUM(E436:E436)</f>
        <v>0</v>
      </c>
      <c r="F435" s="180">
        <f t="shared" si="108"/>
        <v>0</v>
      </c>
      <c r="G435" s="294">
        <f t="shared" si="108"/>
        <v>0</v>
      </c>
      <c r="H435" s="294" t="e">
        <f>SUM(H436:H436)</f>
        <v>#REF!</v>
      </c>
      <c r="I435" s="734" t="e">
        <f>H435/G435*100</f>
        <v>#REF!</v>
      </c>
      <c r="J435" s="299"/>
      <c r="K435" s="304"/>
      <c r="L435" s="304"/>
      <c r="M435" s="304"/>
      <c r="N435" s="304"/>
    </row>
    <row r="436" spans="1:14" ht="37.5" hidden="1" customHeight="1" x14ac:dyDescent="0.3">
      <c r="A436" s="307"/>
      <c r="B436" s="297"/>
      <c r="C436" s="214"/>
      <c r="D436" s="612"/>
      <c r="E436" s="147"/>
      <c r="F436" s="487"/>
      <c r="G436" s="296"/>
      <c r="H436" s="54" t="e">
        <f>G436-#REF!</f>
        <v>#REF!</v>
      </c>
      <c r="I436" s="734" t="e">
        <f>H436/G436*100</f>
        <v>#REF!</v>
      </c>
      <c r="J436" s="299"/>
      <c r="K436" s="304"/>
      <c r="L436" s="304"/>
      <c r="M436" s="304"/>
      <c r="N436" s="304"/>
    </row>
    <row r="437" spans="1:14" ht="21.75" hidden="1" customHeight="1" x14ac:dyDescent="0.3">
      <c r="A437" s="307"/>
      <c r="B437" s="297"/>
      <c r="C437" s="214"/>
      <c r="D437" s="543"/>
      <c r="E437" s="147"/>
      <c r="F437" s="39"/>
      <c r="G437" s="296"/>
      <c r="H437" s="54"/>
      <c r="I437" s="734" t="e">
        <f>H437/G437*100</f>
        <v>#DIV/0!</v>
      </c>
      <c r="J437" s="299"/>
      <c r="K437" s="304"/>
      <c r="L437" s="304"/>
      <c r="M437" s="304"/>
      <c r="N437" s="304"/>
    </row>
    <row r="438" spans="1:14" ht="23.25" customHeight="1" x14ac:dyDescent="0.3">
      <c r="A438" s="307"/>
      <c r="B438" s="212">
        <v>3116030</v>
      </c>
      <c r="C438" s="212">
        <v>3132</v>
      </c>
      <c r="D438" s="300" t="s">
        <v>92</v>
      </c>
      <c r="E438" s="520">
        <f t="shared" ref="E438:H438" si="109">SUM(E439:E446)</f>
        <v>7475000</v>
      </c>
      <c r="F438" s="520">
        <f t="shared" si="109"/>
        <v>8425000</v>
      </c>
      <c r="G438" s="278">
        <f t="shared" si="109"/>
        <v>1059311</v>
      </c>
      <c r="H438" s="278">
        <f t="shared" si="109"/>
        <v>939310.76</v>
      </c>
      <c r="I438" s="741">
        <f>H438/G438*100</f>
        <v>88.67185935008699</v>
      </c>
      <c r="J438" s="299"/>
      <c r="K438" s="304"/>
      <c r="L438" s="304"/>
      <c r="M438" s="304"/>
      <c r="N438" s="304"/>
    </row>
    <row r="439" spans="1:14" ht="37.5" customHeight="1" x14ac:dyDescent="0.25">
      <c r="A439" s="293"/>
      <c r="B439" s="297"/>
      <c r="C439" s="214"/>
      <c r="D439" s="612" t="s">
        <v>170</v>
      </c>
      <c r="E439" s="502">
        <v>1245800</v>
      </c>
      <c r="F439" s="502">
        <v>1245800</v>
      </c>
      <c r="G439" s="296">
        <f>20000</f>
        <v>20000</v>
      </c>
      <c r="H439" s="54"/>
      <c r="I439" s="734">
        <f>H439/G439*100</f>
        <v>0</v>
      </c>
      <c r="J439" s="89"/>
      <c r="K439" s="25"/>
      <c r="L439" s="25"/>
      <c r="M439" s="25"/>
    </row>
    <row r="440" spans="1:14" ht="37.5" customHeight="1" x14ac:dyDescent="0.25">
      <c r="A440" s="293"/>
      <c r="B440" s="297"/>
      <c r="C440" s="214"/>
      <c r="D440" s="612" t="s">
        <v>171</v>
      </c>
      <c r="E440" s="502">
        <v>1245800</v>
      </c>
      <c r="F440" s="502">
        <v>1245800</v>
      </c>
      <c r="G440" s="296">
        <f>20000</f>
        <v>20000</v>
      </c>
      <c r="H440" s="54"/>
      <c r="I440" s="734">
        <f>H440/G440*100</f>
        <v>0</v>
      </c>
      <c r="J440" s="89"/>
      <c r="K440" s="25"/>
      <c r="L440" s="25"/>
      <c r="M440" s="25"/>
    </row>
    <row r="441" spans="1:14" ht="37.5" customHeight="1" x14ac:dyDescent="0.25">
      <c r="A441" s="293"/>
      <c r="B441" s="297"/>
      <c r="C441" s="214"/>
      <c r="D441" s="612" t="s">
        <v>172</v>
      </c>
      <c r="E441" s="502">
        <v>1245800</v>
      </c>
      <c r="F441" s="502">
        <v>1245800</v>
      </c>
      <c r="G441" s="296">
        <f>20000+1225800-1200000-25800</f>
        <v>20000</v>
      </c>
      <c r="H441" s="54"/>
      <c r="I441" s="734">
        <f>H441/G441*100</f>
        <v>0</v>
      </c>
      <c r="J441" s="89"/>
      <c r="K441" s="25"/>
      <c r="L441" s="25"/>
      <c r="M441" s="25"/>
    </row>
    <row r="442" spans="1:14" ht="37.5" customHeight="1" x14ac:dyDescent="0.25">
      <c r="A442" s="293"/>
      <c r="B442" s="297"/>
      <c r="C442" s="214"/>
      <c r="D442" s="612" t="s">
        <v>173</v>
      </c>
      <c r="E442" s="502">
        <v>1245800</v>
      </c>
      <c r="F442" s="502">
        <v>1245800</v>
      </c>
      <c r="G442" s="296">
        <f>20000+1225800-1225800</f>
        <v>20000</v>
      </c>
      <c r="H442" s="54"/>
      <c r="I442" s="734">
        <f>H442/G442*100</f>
        <v>0</v>
      </c>
      <c r="J442" s="89"/>
      <c r="K442" s="25"/>
      <c r="L442" s="25"/>
      <c r="M442" s="25"/>
    </row>
    <row r="443" spans="1:14" ht="37.5" customHeight="1" x14ac:dyDescent="0.25">
      <c r="A443" s="293"/>
      <c r="B443" s="297"/>
      <c r="C443" s="214"/>
      <c r="D443" s="612" t="s">
        <v>174</v>
      </c>
      <c r="E443" s="502">
        <v>1245800</v>
      </c>
      <c r="F443" s="502">
        <v>1245800</v>
      </c>
      <c r="G443" s="296">
        <f>20000+1225800-1200000-25800</f>
        <v>20000</v>
      </c>
      <c r="H443" s="54"/>
      <c r="I443" s="734">
        <f>H443/G443*100</f>
        <v>0</v>
      </c>
      <c r="J443" s="89"/>
      <c r="K443" s="25"/>
      <c r="L443" s="25"/>
      <c r="M443" s="25"/>
    </row>
    <row r="444" spans="1:14" ht="37.5" customHeight="1" x14ac:dyDescent="0.25">
      <c r="A444" s="293"/>
      <c r="B444" s="297"/>
      <c r="C444" s="214"/>
      <c r="D444" s="612" t="s">
        <v>175</v>
      </c>
      <c r="E444" s="502">
        <v>1246000</v>
      </c>
      <c r="F444" s="502">
        <v>1246000</v>
      </c>
      <c r="G444" s="296">
        <f>20000+1226000-1226000</f>
        <v>20000</v>
      </c>
      <c r="H444" s="54"/>
      <c r="I444" s="734">
        <f>H444/G444*100</f>
        <v>0</v>
      </c>
      <c r="J444" s="89"/>
      <c r="K444" s="25"/>
      <c r="L444" s="25"/>
      <c r="M444" s="25"/>
    </row>
    <row r="445" spans="1:14" ht="37.5" customHeight="1" x14ac:dyDescent="0.25">
      <c r="A445" s="293"/>
      <c r="B445" s="297"/>
      <c r="C445" s="214"/>
      <c r="D445" s="619" t="s">
        <v>209</v>
      </c>
      <c r="E445" s="502"/>
      <c r="F445" s="502">
        <f>950000</f>
        <v>950000</v>
      </c>
      <c r="G445" s="296">
        <f>950000-10689</f>
        <v>939311</v>
      </c>
      <c r="H445" s="38">
        <f>950000-7494.74-3194.5</f>
        <v>939310.76</v>
      </c>
      <c r="I445" s="734">
        <f>H445/G445*100</f>
        <v>99.999974449357026</v>
      </c>
      <c r="J445" s="89"/>
      <c r="K445" s="25"/>
      <c r="L445" s="25"/>
      <c r="M445" s="25"/>
    </row>
    <row r="446" spans="1:14" ht="16.5" customHeight="1" x14ac:dyDescent="0.25">
      <c r="A446" s="293"/>
      <c r="B446" s="297"/>
      <c r="C446" s="214"/>
      <c r="D446" s="620"/>
      <c r="E446" s="40"/>
      <c r="F446" s="487"/>
      <c r="G446" s="296"/>
      <c r="H446" s="54"/>
      <c r="I446" s="734"/>
      <c r="J446" s="89"/>
      <c r="K446" s="25"/>
      <c r="L446" s="25"/>
      <c r="M446" s="25"/>
    </row>
    <row r="447" spans="1:14" ht="39" hidden="1" x14ac:dyDescent="0.25">
      <c r="A447" s="293"/>
      <c r="B447" s="212">
        <v>3116030</v>
      </c>
      <c r="C447" s="212">
        <v>3132</v>
      </c>
      <c r="D447" s="621" t="s">
        <v>93</v>
      </c>
      <c r="E447" s="261">
        <f t="shared" ref="E447:H447" si="110">SUM(E448:E452)</f>
        <v>0</v>
      </c>
      <c r="F447" s="511">
        <f t="shared" si="110"/>
        <v>0</v>
      </c>
      <c r="G447" s="294">
        <f t="shared" si="110"/>
        <v>0</v>
      </c>
      <c r="H447" s="294" t="e">
        <f t="shared" si="110"/>
        <v>#REF!</v>
      </c>
      <c r="I447" s="734" t="e">
        <f>H447/G447*100</f>
        <v>#REF!</v>
      </c>
      <c r="J447" s="107"/>
      <c r="K447" s="25"/>
      <c r="L447" s="25"/>
      <c r="M447" s="25"/>
    </row>
    <row r="448" spans="1:14" hidden="1" x14ac:dyDescent="0.25">
      <c r="A448" s="293"/>
      <c r="B448" s="297"/>
      <c r="C448" s="214"/>
      <c r="D448" s="622"/>
      <c r="E448" s="119"/>
      <c r="F448" s="509"/>
      <c r="G448" s="296"/>
      <c r="H448" s="508" t="e">
        <f>G448-#REF!</f>
        <v>#REF!</v>
      </c>
      <c r="I448" s="734" t="e">
        <f>H448/G448*100</f>
        <v>#REF!</v>
      </c>
      <c r="J448" s="82"/>
      <c r="K448" s="25"/>
      <c r="L448" s="25"/>
      <c r="M448" s="25"/>
    </row>
    <row r="449" spans="1:13" ht="18" hidden="1" customHeight="1" x14ac:dyDescent="0.25">
      <c r="A449" s="293"/>
      <c r="B449" s="297"/>
      <c r="C449" s="214"/>
      <c r="D449" s="550"/>
      <c r="E449" s="296"/>
      <c r="F449" s="119"/>
      <c r="G449" s="296"/>
      <c r="H449" s="54" t="e">
        <f>G449-#REF!</f>
        <v>#REF!</v>
      </c>
      <c r="I449" s="734" t="e">
        <f>H449/G449*100</f>
        <v>#REF!</v>
      </c>
      <c r="J449" s="82"/>
      <c r="K449" s="25"/>
      <c r="L449" s="25"/>
      <c r="M449" s="25"/>
    </row>
    <row r="450" spans="1:13" ht="18.75" hidden="1" customHeight="1" x14ac:dyDescent="0.25">
      <c r="A450" s="293"/>
      <c r="B450" s="297"/>
      <c r="C450" s="214"/>
      <c r="D450" s="550"/>
      <c r="E450" s="296"/>
      <c r="F450" s="119"/>
      <c r="G450" s="296"/>
      <c r="H450" s="54" t="e">
        <f>G450-#REF!</f>
        <v>#REF!</v>
      </c>
      <c r="I450" s="734" t="e">
        <f>H450/G450*100</f>
        <v>#REF!</v>
      </c>
      <c r="J450" s="82"/>
      <c r="K450" s="25"/>
      <c r="L450" s="25"/>
      <c r="M450" s="25"/>
    </row>
    <row r="451" spans="1:13" ht="18.75" hidden="1" customHeight="1" x14ac:dyDescent="0.25">
      <c r="A451" s="293"/>
      <c r="B451" s="297"/>
      <c r="C451" s="214"/>
      <c r="D451" s="550"/>
      <c r="E451" s="296"/>
      <c r="F451" s="119"/>
      <c r="G451" s="296"/>
      <c r="H451" s="54" t="e">
        <f>G451-#REF!</f>
        <v>#REF!</v>
      </c>
      <c r="I451" s="734" t="e">
        <f>H451/G451*100</f>
        <v>#REF!</v>
      </c>
      <c r="J451" s="82"/>
      <c r="K451" s="25"/>
      <c r="L451" s="25"/>
      <c r="M451" s="25"/>
    </row>
    <row r="452" spans="1:13" ht="15.75" hidden="1" customHeight="1" x14ac:dyDescent="0.25">
      <c r="A452" s="293"/>
      <c r="B452" s="297"/>
      <c r="C452" s="214"/>
      <c r="D452" s="603"/>
      <c r="E452" s="147"/>
      <c r="F452" s="309"/>
      <c r="G452" s="296"/>
      <c r="H452" s="54"/>
      <c r="I452" s="734" t="e">
        <f>H452/G452*100</f>
        <v>#DIV/0!</v>
      </c>
      <c r="J452" s="82"/>
      <c r="K452" s="25"/>
      <c r="L452" s="25"/>
      <c r="M452" s="25"/>
    </row>
    <row r="453" spans="1:13" ht="24" customHeight="1" x14ac:dyDescent="0.25">
      <c r="A453" s="293"/>
      <c r="B453" s="212">
        <v>3116030</v>
      </c>
      <c r="C453" s="212">
        <v>3132</v>
      </c>
      <c r="D453" s="623" t="s">
        <v>94</v>
      </c>
      <c r="E453" s="305">
        <f>SUM(E454:E460)</f>
        <v>1000000</v>
      </c>
      <c r="F453" s="278">
        <f>SUM(F454:F459)</f>
        <v>1000000</v>
      </c>
      <c r="G453" s="278">
        <f>SUM(G454:G459)</f>
        <v>80000</v>
      </c>
      <c r="H453" s="278">
        <f>SUM(H454:H457)</f>
        <v>0</v>
      </c>
      <c r="I453" s="741">
        <f>H453/G453*100</f>
        <v>0</v>
      </c>
      <c r="J453" s="275"/>
      <c r="K453" s="25"/>
      <c r="L453" s="25"/>
      <c r="M453" s="25"/>
    </row>
    <row r="454" spans="1:13" ht="36" customHeight="1" x14ac:dyDescent="0.25">
      <c r="A454" s="187"/>
      <c r="B454" s="297"/>
      <c r="C454" s="214"/>
      <c r="D454" s="612" t="s">
        <v>176</v>
      </c>
      <c r="E454" s="502">
        <v>250000</v>
      </c>
      <c r="F454" s="502">
        <v>250000</v>
      </c>
      <c r="G454" s="296">
        <f>20000</f>
        <v>20000</v>
      </c>
      <c r="H454" s="37"/>
      <c r="I454" s="734">
        <f>H454/G454*100</f>
        <v>0</v>
      </c>
      <c r="J454" s="82"/>
      <c r="K454" s="25"/>
      <c r="L454" s="25"/>
      <c r="M454" s="25"/>
    </row>
    <row r="455" spans="1:13" ht="36" customHeight="1" x14ac:dyDescent="0.25">
      <c r="A455" s="187"/>
      <c r="B455" s="297"/>
      <c r="C455" s="214"/>
      <c r="D455" s="612" t="s">
        <v>177</v>
      </c>
      <c r="E455" s="502">
        <v>250000</v>
      </c>
      <c r="F455" s="502">
        <v>250000</v>
      </c>
      <c r="G455" s="296">
        <f>20000</f>
        <v>20000</v>
      </c>
      <c r="H455" s="37"/>
      <c r="I455" s="734">
        <f>H455/G455*100</f>
        <v>0</v>
      </c>
      <c r="J455" s="82"/>
      <c r="K455" s="25"/>
      <c r="L455" s="25"/>
      <c r="M455" s="25"/>
    </row>
    <row r="456" spans="1:13" ht="36" customHeight="1" x14ac:dyDescent="0.25">
      <c r="A456" s="187"/>
      <c r="B456" s="297"/>
      <c r="C456" s="214"/>
      <c r="D456" s="612" t="s">
        <v>178</v>
      </c>
      <c r="E456" s="502">
        <v>250000</v>
      </c>
      <c r="F456" s="502">
        <v>250000</v>
      </c>
      <c r="G456" s="296">
        <f>20000</f>
        <v>20000</v>
      </c>
      <c r="H456" s="37"/>
      <c r="I456" s="734">
        <f>H456/G456*100</f>
        <v>0</v>
      </c>
      <c r="J456" s="82"/>
      <c r="K456" s="25"/>
      <c r="L456" s="25"/>
      <c r="M456" s="25"/>
    </row>
    <row r="457" spans="1:13" ht="36" customHeight="1" x14ac:dyDescent="0.25">
      <c r="A457" s="187"/>
      <c r="B457" s="297"/>
      <c r="C457" s="214"/>
      <c r="D457" s="612" t="s">
        <v>179</v>
      </c>
      <c r="E457" s="502">
        <v>250000</v>
      </c>
      <c r="F457" s="502">
        <v>250000</v>
      </c>
      <c r="G457" s="296">
        <f>20000</f>
        <v>20000</v>
      </c>
      <c r="H457" s="37"/>
      <c r="I457" s="734">
        <f>H457/G457*100</f>
        <v>0</v>
      </c>
      <c r="J457" s="82"/>
      <c r="K457" s="25"/>
      <c r="L457" s="25"/>
      <c r="M457" s="25"/>
    </row>
    <row r="458" spans="1:13" ht="30.75" hidden="1" customHeight="1" x14ac:dyDescent="0.25">
      <c r="A458" s="187"/>
      <c r="B458" s="297"/>
      <c r="C458" s="214"/>
      <c r="D458" s="446"/>
      <c r="E458" s="119"/>
      <c r="F458" s="119"/>
      <c r="G458" s="296"/>
      <c r="H458" s="37"/>
      <c r="I458" s="734" t="e">
        <f>H458/G458*100</f>
        <v>#DIV/0!</v>
      </c>
      <c r="J458" s="82"/>
      <c r="K458" s="25"/>
      <c r="L458" s="25"/>
      <c r="M458" s="25"/>
    </row>
    <row r="459" spans="1:13" hidden="1" x14ac:dyDescent="0.25">
      <c r="A459" s="187"/>
      <c r="B459" s="297"/>
      <c r="C459" s="214"/>
      <c r="D459" s="540"/>
      <c r="E459" s="119"/>
      <c r="F459" s="119"/>
      <c r="G459" s="296"/>
      <c r="H459" s="37" t="e">
        <f>G459-#REF!</f>
        <v>#REF!</v>
      </c>
      <c r="I459" s="734" t="e">
        <f>H459/G459*100</f>
        <v>#REF!</v>
      </c>
      <c r="J459" s="82"/>
      <c r="K459" s="25"/>
      <c r="L459" s="25"/>
      <c r="M459" s="25"/>
    </row>
    <row r="460" spans="1:13" ht="16.5" customHeight="1" x14ac:dyDescent="0.25">
      <c r="A460" s="187"/>
      <c r="B460" s="297"/>
      <c r="C460" s="214"/>
      <c r="D460" s="446"/>
      <c r="E460" s="310"/>
      <c r="F460" s="39"/>
      <c r="G460" s="296"/>
      <c r="H460" s="37"/>
      <c r="I460" s="734"/>
      <c r="J460" s="82"/>
      <c r="K460" s="25"/>
      <c r="L460" s="25"/>
      <c r="M460" s="25"/>
    </row>
    <row r="461" spans="1:13" ht="21.75" customHeight="1" x14ac:dyDescent="0.25">
      <c r="A461" s="187"/>
      <c r="B461" s="297"/>
      <c r="C461" s="214"/>
      <c r="D461" s="300" t="s">
        <v>95</v>
      </c>
      <c r="E461" s="278">
        <f>SUM(E462:E463)</f>
        <v>0</v>
      </c>
      <c r="F461" s="278">
        <f>SUM(F462:F466)</f>
        <v>5080238</v>
      </c>
      <c r="G461" s="278">
        <f t="shared" ref="G461:H461" si="111">SUM(G462:G466)</f>
        <v>1747346</v>
      </c>
      <c r="H461" s="278">
        <f t="shared" si="111"/>
        <v>1363173.58</v>
      </c>
      <c r="I461" s="741">
        <f>H461/G461*100</f>
        <v>78.013946865703758</v>
      </c>
      <c r="J461" s="82"/>
      <c r="K461" s="25"/>
      <c r="L461" s="25"/>
      <c r="M461" s="25"/>
    </row>
    <row r="462" spans="1:13" ht="37.5" x14ac:dyDescent="0.25">
      <c r="A462" s="187"/>
      <c r="B462" s="297"/>
      <c r="C462" s="214"/>
      <c r="D462" s="592" t="s">
        <v>210</v>
      </c>
      <c r="E462" s="296"/>
      <c r="F462" s="298">
        <f>1696066</f>
        <v>1696066</v>
      </c>
      <c r="G462" s="296">
        <f>244127+1451939-244127-1451939</f>
        <v>0</v>
      </c>
      <c r="H462" s="37"/>
      <c r="I462" s="734"/>
      <c r="J462" s="82"/>
      <c r="K462" s="25"/>
      <c r="L462" s="25"/>
      <c r="M462" s="25"/>
    </row>
    <row r="463" spans="1:13" ht="37.5" customHeight="1" x14ac:dyDescent="0.25">
      <c r="A463" s="187"/>
      <c r="B463" s="297"/>
      <c r="C463" s="214"/>
      <c r="D463" s="578" t="s">
        <v>211</v>
      </c>
      <c r="E463" s="296"/>
      <c r="F463" s="298">
        <f>384172</f>
        <v>384172</v>
      </c>
      <c r="G463" s="296">
        <f>384172</f>
        <v>384172</v>
      </c>
      <c r="H463" s="37"/>
      <c r="I463" s="734">
        <f>H463/G463*100</f>
        <v>0</v>
      </c>
      <c r="J463" s="82"/>
      <c r="K463" s="25"/>
      <c r="L463" s="25"/>
      <c r="M463" s="25"/>
    </row>
    <row r="464" spans="1:13" ht="37.5" customHeight="1" x14ac:dyDescent="0.25">
      <c r="A464" s="187"/>
      <c r="B464" s="297"/>
      <c r="C464" s="214"/>
      <c r="D464" s="688" t="s">
        <v>248</v>
      </c>
      <c r="E464" s="296"/>
      <c r="F464" s="298">
        <f>1500000</f>
        <v>1500000</v>
      </c>
      <c r="G464" s="296">
        <f>10689+1010+1351475</f>
        <v>1363174</v>
      </c>
      <c r="H464" s="39">
        <f>7494.74+4204.21+995933.68+14732+340808.95</f>
        <v>1363173.58</v>
      </c>
      <c r="I464" s="734">
        <f>H464/G464*100</f>
        <v>99.999969189553212</v>
      </c>
      <c r="J464" s="82"/>
      <c r="K464" s="25"/>
      <c r="L464" s="25"/>
      <c r="M464" s="25"/>
    </row>
    <row r="465" spans="1:13" ht="37.5" customHeight="1" x14ac:dyDescent="0.25">
      <c r="A465" s="187"/>
      <c r="B465" s="297"/>
      <c r="C465" s="214"/>
      <c r="D465" s="686" t="s">
        <v>249</v>
      </c>
      <c r="E465" s="296"/>
      <c r="F465" s="298">
        <f>500000</f>
        <v>500000</v>
      </c>
      <c r="G465" s="296">
        <f>500000-500000</f>
        <v>0</v>
      </c>
      <c r="H465" s="37"/>
      <c r="I465" s="734"/>
      <c r="J465" s="82"/>
      <c r="K465" s="25"/>
      <c r="L465" s="25"/>
      <c r="M465" s="25"/>
    </row>
    <row r="466" spans="1:13" ht="37.5" customHeight="1" x14ac:dyDescent="0.25">
      <c r="A466" s="187"/>
      <c r="B466" s="297"/>
      <c r="C466" s="214"/>
      <c r="D466" s="686" t="s">
        <v>250</v>
      </c>
      <c r="E466" s="296"/>
      <c r="F466" s="298">
        <f>1000000</f>
        <v>1000000</v>
      </c>
      <c r="G466" s="296">
        <f>1000000-1000000</f>
        <v>0</v>
      </c>
      <c r="H466" s="37"/>
      <c r="I466" s="734"/>
      <c r="J466" s="82"/>
      <c r="K466" s="25"/>
      <c r="L466" s="25"/>
      <c r="M466" s="25"/>
    </row>
    <row r="467" spans="1:13" ht="18.75" customHeight="1" x14ac:dyDescent="0.25">
      <c r="A467" s="187"/>
      <c r="B467" s="297"/>
      <c r="C467" s="214"/>
      <c r="D467" s="616"/>
      <c r="E467" s="296"/>
      <c r="F467" s="510"/>
      <c r="G467" s="296"/>
      <c r="H467" s="37"/>
      <c r="I467" s="734"/>
      <c r="J467" s="82"/>
      <c r="K467" s="25"/>
      <c r="L467" s="25"/>
      <c r="M467" s="25"/>
    </row>
    <row r="468" spans="1:13" ht="35.25" customHeight="1" x14ac:dyDescent="0.25">
      <c r="A468" s="187"/>
      <c r="B468" s="212">
        <v>3116030</v>
      </c>
      <c r="C468" s="212">
        <v>3132</v>
      </c>
      <c r="D468" s="621" t="s">
        <v>93</v>
      </c>
      <c r="E468" s="261">
        <f t="shared" ref="E468:G468" si="112">SUM(E469:E473)</f>
        <v>0</v>
      </c>
      <c r="F468" s="511">
        <f t="shared" si="112"/>
        <v>333000</v>
      </c>
      <c r="G468" s="294">
        <f t="shared" si="112"/>
        <v>333000</v>
      </c>
      <c r="H468" s="294">
        <f>SUM(H469)</f>
        <v>332999.98</v>
      </c>
      <c r="I468" s="734">
        <f>H468/G468*100</f>
        <v>99.999993993993982</v>
      </c>
      <c r="J468" s="107"/>
      <c r="K468" s="25"/>
      <c r="L468" s="25"/>
      <c r="M468" s="25"/>
    </row>
    <row r="469" spans="1:13" ht="34.5" customHeight="1" x14ac:dyDescent="0.25">
      <c r="A469" s="187"/>
      <c r="B469" s="297"/>
      <c r="C469" s="214"/>
      <c r="D469" s="592" t="s">
        <v>212</v>
      </c>
      <c r="E469" s="119"/>
      <c r="F469" s="509">
        <f>333000</f>
        <v>333000</v>
      </c>
      <c r="G469" s="296">
        <f>333000</f>
        <v>333000</v>
      </c>
      <c r="H469" s="485">
        <f>309134.8+23865.18</f>
        <v>332999.98</v>
      </c>
      <c r="I469" s="734">
        <f>H469/G469*100</f>
        <v>99.999993993993982</v>
      </c>
      <c r="J469" s="82"/>
      <c r="K469" s="25"/>
      <c r="L469" s="25"/>
      <c r="M469" s="25"/>
    </row>
    <row r="470" spans="1:13" ht="35.25" hidden="1" customHeight="1" x14ac:dyDescent="0.25">
      <c r="A470" s="187"/>
      <c r="B470" s="297"/>
      <c r="C470" s="214"/>
      <c r="D470" s="550"/>
      <c r="E470" s="296"/>
      <c r="F470" s="119"/>
      <c r="G470" s="296"/>
      <c r="H470" s="54" t="e">
        <f>G470-#REF!</f>
        <v>#REF!</v>
      </c>
      <c r="I470" s="734" t="e">
        <f>H470/G470*100</f>
        <v>#REF!</v>
      </c>
      <c r="J470" s="82"/>
      <c r="K470" s="25"/>
      <c r="L470" s="25"/>
      <c r="M470" s="25"/>
    </row>
    <row r="471" spans="1:13" ht="35.25" hidden="1" customHeight="1" x14ac:dyDescent="0.25">
      <c r="A471" s="187"/>
      <c r="B471" s="297"/>
      <c r="C471" s="214"/>
      <c r="D471" s="550"/>
      <c r="E471" s="296"/>
      <c r="F471" s="119"/>
      <c r="G471" s="296"/>
      <c r="H471" s="54" t="e">
        <f>G471-#REF!</f>
        <v>#REF!</v>
      </c>
      <c r="I471" s="734" t="e">
        <f>H471/G471*100</f>
        <v>#REF!</v>
      </c>
      <c r="J471" s="82"/>
      <c r="K471" s="25"/>
      <c r="L471" s="25"/>
      <c r="M471" s="25"/>
    </row>
    <row r="472" spans="1:13" hidden="1" x14ac:dyDescent="0.25">
      <c r="A472" s="187"/>
      <c r="B472" s="297"/>
      <c r="C472" s="214"/>
      <c r="D472" s="550"/>
      <c r="E472" s="296"/>
      <c r="F472" s="119"/>
      <c r="G472" s="296"/>
      <c r="H472" s="54" t="e">
        <f>G472-#REF!</f>
        <v>#REF!</v>
      </c>
      <c r="I472" s="734" t="e">
        <f>H472/G472*100</f>
        <v>#REF!</v>
      </c>
      <c r="J472" s="82"/>
      <c r="K472" s="25"/>
      <c r="L472" s="25"/>
      <c r="M472" s="25"/>
    </row>
    <row r="473" spans="1:13" hidden="1" x14ac:dyDescent="0.25">
      <c r="A473" s="187"/>
      <c r="B473" s="297"/>
      <c r="C473" s="214"/>
      <c r="D473" s="446"/>
      <c r="E473" s="296"/>
      <c r="F473" s="298"/>
      <c r="G473" s="296"/>
      <c r="H473" s="37" t="e">
        <f>G473-#REF!</f>
        <v>#REF!</v>
      </c>
      <c r="I473" s="734" t="e">
        <f>H473/G473*100</f>
        <v>#REF!</v>
      </c>
      <c r="J473" s="82"/>
      <c r="K473" s="25"/>
      <c r="L473" s="25"/>
      <c r="M473" s="25"/>
    </row>
    <row r="474" spans="1:13" ht="24" hidden="1" customHeight="1" x14ac:dyDescent="0.25">
      <c r="A474" s="187"/>
      <c r="B474" s="297"/>
      <c r="C474" s="214"/>
      <c r="D474" s="583"/>
      <c r="E474" s="296"/>
      <c r="F474" s="298"/>
      <c r="G474" s="296"/>
      <c r="H474" s="37" t="e">
        <f>G474-#REF!</f>
        <v>#REF!</v>
      </c>
      <c r="I474" s="734" t="e">
        <f>H474/G474*100</f>
        <v>#REF!</v>
      </c>
      <c r="J474" s="82"/>
      <c r="K474" s="25"/>
      <c r="L474" s="25"/>
      <c r="M474" s="25"/>
    </row>
    <row r="475" spans="1:13" ht="16.5" customHeight="1" x14ac:dyDescent="0.25">
      <c r="A475" s="187"/>
      <c r="B475" s="297"/>
      <c r="C475" s="214"/>
      <c r="D475" s="540"/>
      <c r="E475" s="296"/>
      <c r="F475" s="296"/>
      <c r="G475" s="296"/>
      <c r="H475" s="37"/>
      <c r="I475" s="734"/>
      <c r="J475" s="82"/>
      <c r="K475" s="25"/>
      <c r="L475" s="25"/>
      <c r="M475" s="25"/>
    </row>
    <row r="476" spans="1:13" ht="16.5" customHeight="1" x14ac:dyDescent="0.25">
      <c r="A476" s="311"/>
      <c r="B476" s="211">
        <v>3116030</v>
      </c>
      <c r="C476" s="211">
        <v>3210</v>
      </c>
      <c r="D476" s="540"/>
      <c r="E476" s="296"/>
      <c r="F476" s="296"/>
      <c r="G476" s="296"/>
      <c r="H476" s="37"/>
      <c r="I476" s="734"/>
      <c r="J476" s="82"/>
      <c r="K476" s="25"/>
      <c r="L476" s="25"/>
      <c r="M476" s="25"/>
    </row>
    <row r="477" spans="1:13" ht="16.5" customHeight="1" x14ac:dyDescent="0.3">
      <c r="A477" s="124"/>
      <c r="B477" s="211"/>
      <c r="C477" s="211"/>
      <c r="D477" s="557" t="s">
        <v>22</v>
      </c>
      <c r="E477" s="48">
        <f t="shared" ref="E477:G477" si="113">SUM(E478)</f>
        <v>1500000</v>
      </c>
      <c r="F477" s="48">
        <f t="shared" si="113"/>
        <v>1500000</v>
      </c>
      <c r="G477" s="48">
        <f t="shared" si="113"/>
        <v>0</v>
      </c>
      <c r="H477" s="48">
        <f>SUM(H478)</f>
        <v>0</v>
      </c>
      <c r="I477" s="746"/>
      <c r="J477" s="49"/>
      <c r="K477" s="25"/>
      <c r="L477" s="25"/>
      <c r="M477" s="25"/>
    </row>
    <row r="478" spans="1:13" ht="39" customHeight="1" x14ac:dyDescent="0.25">
      <c r="A478" s="311"/>
      <c r="B478" s="297"/>
      <c r="C478" s="214"/>
      <c r="D478" s="624" t="s">
        <v>180</v>
      </c>
      <c r="E478" s="502">
        <v>1500000</v>
      </c>
      <c r="F478" s="502">
        <v>1500000</v>
      </c>
      <c r="G478" s="296">
        <f>500000+500000+500000-500000-500000-500000</f>
        <v>0</v>
      </c>
      <c r="H478" s="37"/>
      <c r="I478" s="734"/>
      <c r="J478" s="82"/>
      <c r="K478" s="25"/>
      <c r="L478" s="25"/>
      <c r="M478" s="25"/>
    </row>
    <row r="479" spans="1:13" ht="16.5" customHeight="1" x14ac:dyDescent="0.25">
      <c r="A479" s="311"/>
      <c r="B479" s="297"/>
      <c r="C479" s="214"/>
      <c r="D479" s="540"/>
      <c r="E479" s="296"/>
      <c r="F479" s="296"/>
      <c r="G479" s="296"/>
      <c r="H479" s="37"/>
      <c r="I479" s="734"/>
      <c r="J479" s="82"/>
      <c r="K479" s="25"/>
      <c r="L479" s="25"/>
      <c r="M479" s="25"/>
    </row>
    <row r="480" spans="1:13" ht="22.5" customHeight="1" x14ac:dyDescent="0.3">
      <c r="A480" s="86" t="s">
        <v>96</v>
      </c>
      <c r="B480" s="120">
        <v>7310</v>
      </c>
      <c r="C480" s="121"/>
      <c r="D480" s="558"/>
      <c r="E480" s="122">
        <f>E481+E500</f>
        <v>1158355</v>
      </c>
      <c r="F480" s="122">
        <f>F481</f>
        <v>1658355</v>
      </c>
      <c r="G480" s="122">
        <f>G481</f>
        <v>1658355</v>
      </c>
      <c r="H480" s="122">
        <f>H481</f>
        <v>194736</v>
      </c>
      <c r="I480" s="745">
        <f>H480/G480*100</f>
        <v>11.742720949374531</v>
      </c>
      <c r="J480" s="123"/>
      <c r="K480" s="25"/>
      <c r="L480" s="25"/>
      <c r="M480" s="25"/>
    </row>
    <row r="481" spans="1:16" ht="22.5" customHeight="1" x14ac:dyDescent="0.3">
      <c r="A481" s="124"/>
      <c r="B481" s="125"/>
      <c r="C481" s="126"/>
      <c r="D481" s="557" t="s">
        <v>14</v>
      </c>
      <c r="E481" s="48">
        <f>SUM(E482:E484)</f>
        <v>1158355</v>
      </c>
      <c r="F481" s="48">
        <f t="shared" ref="F481:H481" si="114">SUM(F482:F484)</f>
        <v>1658355</v>
      </c>
      <c r="G481" s="48">
        <f t="shared" si="114"/>
        <v>1658355</v>
      </c>
      <c r="H481" s="48">
        <f t="shared" si="114"/>
        <v>194736</v>
      </c>
      <c r="I481" s="744">
        <f>H481/G481*100</f>
        <v>11.742720949374531</v>
      </c>
      <c r="J481" s="49"/>
      <c r="K481" s="25"/>
      <c r="L481" s="25"/>
      <c r="M481" s="25"/>
    </row>
    <row r="482" spans="1:16" ht="78.75" customHeight="1" x14ac:dyDescent="0.25">
      <c r="A482" s="312"/>
      <c r="B482" s="297"/>
      <c r="C482" s="214"/>
      <c r="D482" s="612" t="s">
        <v>181</v>
      </c>
      <c r="E482" s="519">
        <v>158355</v>
      </c>
      <c r="F482" s="519">
        <f>158355+841645+350000</f>
        <v>1350000</v>
      </c>
      <c r="G482" s="39">
        <f>399244+350000+600756</f>
        <v>1350000</v>
      </c>
      <c r="H482" s="39">
        <f>194736</f>
        <v>194736</v>
      </c>
      <c r="I482" s="734">
        <f>H482/G482*100</f>
        <v>14.424888888888891</v>
      </c>
      <c r="J482" s="89"/>
      <c r="K482" s="25"/>
      <c r="L482" s="25"/>
      <c r="M482" s="25"/>
    </row>
    <row r="483" spans="1:16" ht="97.5" customHeight="1" x14ac:dyDescent="0.25">
      <c r="A483" s="312"/>
      <c r="B483" s="297"/>
      <c r="C483" s="214"/>
      <c r="D483" s="612" t="s">
        <v>182</v>
      </c>
      <c r="E483" s="519">
        <v>1000000</v>
      </c>
      <c r="F483" s="519">
        <f>1000000-1000000</f>
        <v>0</v>
      </c>
      <c r="G483" s="39"/>
      <c r="H483" s="39"/>
      <c r="I483" s="734"/>
      <c r="J483" s="89"/>
      <c r="K483" s="25"/>
      <c r="L483" s="25"/>
      <c r="M483" s="25"/>
    </row>
    <row r="484" spans="1:16" ht="76.5" customHeight="1" x14ac:dyDescent="0.25">
      <c r="A484" s="312"/>
      <c r="B484" s="297"/>
      <c r="C484" s="214"/>
      <c r="D484" s="612" t="s">
        <v>213</v>
      </c>
      <c r="E484" s="519"/>
      <c r="F484" s="519">
        <f>308355</f>
        <v>308355</v>
      </c>
      <c r="G484" s="39">
        <f>308355</f>
        <v>308355</v>
      </c>
      <c r="H484" s="39"/>
      <c r="I484" s="734">
        <f>H484/G484*100</f>
        <v>0</v>
      </c>
      <c r="J484" s="89"/>
      <c r="K484" s="25"/>
      <c r="L484" s="25"/>
      <c r="M484" s="25"/>
    </row>
    <row r="485" spans="1:16" ht="17.25" customHeight="1" x14ac:dyDescent="0.25">
      <c r="A485" s="312"/>
      <c r="B485" s="297"/>
      <c r="C485" s="214"/>
      <c r="D485" s="587"/>
      <c r="E485" s="147"/>
      <c r="F485" s="296"/>
      <c r="G485" s="39"/>
      <c r="H485" s="39"/>
      <c r="I485" s="734"/>
      <c r="J485" s="89"/>
      <c r="K485" s="25"/>
      <c r="L485" s="25"/>
      <c r="M485" s="25"/>
    </row>
    <row r="486" spans="1:16" ht="22.5" hidden="1" customHeight="1" x14ac:dyDescent="0.3">
      <c r="A486" s="86" t="s">
        <v>97</v>
      </c>
      <c r="B486" s="120">
        <v>7321</v>
      </c>
      <c r="C486" s="121"/>
      <c r="D486" s="558"/>
      <c r="E486" s="122">
        <f>E487+E505</f>
        <v>0</v>
      </c>
      <c r="F486" s="122">
        <f>F487+F491</f>
        <v>0</v>
      </c>
      <c r="G486" s="122">
        <f>G487+G491</f>
        <v>0</v>
      </c>
      <c r="H486" s="122" t="e">
        <f>H487+H491</f>
        <v>#REF!</v>
      </c>
      <c r="I486" s="734" t="e">
        <f>H486/G486*100</f>
        <v>#REF!</v>
      </c>
      <c r="J486" s="123"/>
      <c r="K486" s="25"/>
      <c r="L486" s="25"/>
      <c r="M486" s="25"/>
    </row>
    <row r="487" spans="1:16" ht="22.5" hidden="1" customHeight="1" x14ac:dyDescent="0.3">
      <c r="A487" s="124"/>
      <c r="B487" s="125"/>
      <c r="C487" s="126"/>
      <c r="D487" s="557" t="s">
        <v>14</v>
      </c>
      <c r="E487" s="48"/>
      <c r="F487" s="48">
        <f>SUM(F488:F489)</f>
        <v>0</v>
      </c>
      <c r="G487" s="48">
        <f>SUM(G488:G489)</f>
        <v>0</v>
      </c>
      <c r="H487" s="48" t="e">
        <f>SUM(H488:H489)</f>
        <v>#REF!</v>
      </c>
      <c r="I487" s="734" t="e">
        <f>H487/G487*100</f>
        <v>#REF!</v>
      </c>
      <c r="J487" s="49"/>
      <c r="K487" s="25"/>
      <c r="L487" s="25"/>
      <c r="M487" s="25"/>
    </row>
    <row r="488" spans="1:16" ht="20.25" hidden="1" customHeight="1" x14ac:dyDescent="0.3">
      <c r="A488" s="313"/>
      <c r="B488" s="297"/>
      <c r="C488" s="214"/>
      <c r="D488" s="543"/>
      <c r="E488" s="147"/>
      <c r="F488" s="296"/>
      <c r="G488" s="39"/>
      <c r="H488" s="39" t="e">
        <f>G488-#REF!</f>
        <v>#REF!</v>
      </c>
      <c r="I488" s="734" t="e">
        <f>H488/G488*100</f>
        <v>#REF!</v>
      </c>
      <c r="J488" s="89"/>
      <c r="K488" s="25"/>
      <c r="L488" s="25"/>
      <c r="M488" s="25"/>
    </row>
    <row r="489" spans="1:16" ht="18.75" hidden="1" customHeight="1" x14ac:dyDescent="0.25">
      <c r="A489" s="313"/>
      <c r="B489" s="297"/>
      <c r="C489" s="214"/>
      <c r="D489" s="540"/>
      <c r="E489" s="147"/>
      <c r="F489" s="296"/>
      <c r="G489" s="39"/>
      <c r="H489" s="39" t="e">
        <f>G489-#REF!</f>
        <v>#REF!</v>
      </c>
      <c r="I489" s="734" t="e">
        <f>H489/G489*100</f>
        <v>#REF!</v>
      </c>
      <c r="J489" s="89"/>
      <c r="K489" s="25"/>
      <c r="L489" s="25"/>
      <c r="M489" s="25"/>
    </row>
    <row r="490" spans="1:16" ht="22.5" hidden="1" customHeight="1" x14ac:dyDescent="0.3">
      <c r="A490" s="313"/>
      <c r="B490" s="297"/>
      <c r="C490" s="214"/>
      <c r="D490" s="547"/>
      <c r="E490" s="147"/>
      <c r="F490" s="296"/>
      <c r="G490" s="39"/>
      <c r="H490" s="39"/>
      <c r="I490" s="734" t="e">
        <f>H490/G490*100</f>
        <v>#DIV/0!</v>
      </c>
      <c r="J490" s="89"/>
      <c r="K490" s="25"/>
      <c r="L490" s="25"/>
      <c r="M490" s="25"/>
    </row>
    <row r="491" spans="1:16" ht="22.5" hidden="1" customHeight="1" x14ac:dyDescent="0.3">
      <c r="A491" s="124"/>
      <c r="B491" s="125"/>
      <c r="C491" s="126"/>
      <c r="D491" s="557" t="s">
        <v>16</v>
      </c>
      <c r="E491" s="48">
        <f>SUM(E494:E536)</f>
        <v>43150000</v>
      </c>
      <c r="F491" s="48">
        <f>SUM(F492:F493)</f>
        <v>0</v>
      </c>
      <c r="G491" s="48">
        <f>SUM(G492:G493)</f>
        <v>0</v>
      </c>
      <c r="H491" s="48" t="e">
        <f>SUM(H492:H493)</f>
        <v>#REF!</v>
      </c>
      <c r="I491" s="734" t="e">
        <f>H491/G491*100</f>
        <v>#REF!</v>
      </c>
      <c r="J491" s="49"/>
      <c r="K491" s="25"/>
      <c r="L491" s="25"/>
      <c r="M491" s="25"/>
    </row>
    <row r="492" spans="1:16" s="141" customFormat="1" hidden="1" x14ac:dyDescent="0.25">
      <c r="A492" s="136"/>
      <c r="B492" s="314"/>
      <c r="C492" s="315"/>
      <c r="D492" s="540"/>
      <c r="E492" s="316"/>
      <c r="F492" s="119"/>
      <c r="G492" s="119"/>
      <c r="H492" s="39" t="e">
        <f>G492-#REF!</f>
        <v>#REF!</v>
      </c>
      <c r="I492" s="734" t="e">
        <f>H492/G492*100</f>
        <v>#REF!</v>
      </c>
      <c r="J492" s="89"/>
      <c r="K492" s="139"/>
      <c r="L492" s="139"/>
      <c r="M492" s="139"/>
      <c r="N492" s="140"/>
      <c r="O492" s="140"/>
      <c r="P492" s="140"/>
    </row>
    <row r="493" spans="1:16" s="141" customFormat="1" ht="15.75" hidden="1" customHeight="1" x14ac:dyDescent="0.3">
      <c r="A493" s="136"/>
      <c r="B493" s="314"/>
      <c r="C493" s="315"/>
      <c r="D493" s="625"/>
      <c r="E493" s="316"/>
      <c r="F493" s="119"/>
      <c r="G493" s="119"/>
      <c r="H493" s="39" t="e">
        <f>G493-#REF!</f>
        <v>#REF!</v>
      </c>
      <c r="I493" s="734" t="e">
        <f>H493/G493*100</f>
        <v>#REF!</v>
      </c>
      <c r="J493" s="89"/>
      <c r="K493" s="139"/>
      <c r="L493" s="139"/>
      <c r="M493" s="139"/>
      <c r="N493" s="140"/>
      <c r="O493" s="140"/>
      <c r="P493" s="140"/>
    </row>
    <row r="494" spans="1:16" ht="24.75" hidden="1" customHeight="1" x14ac:dyDescent="0.3">
      <c r="A494" s="86" t="s">
        <v>98</v>
      </c>
      <c r="B494" s="120">
        <v>7322</v>
      </c>
      <c r="C494" s="121"/>
      <c r="D494" s="558"/>
      <c r="E494" s="122"/>
      <c r="F494" s="122">
        <f>F495+F499</f>
        <v>0</v>
      </c>
      <c r="G494" s="122">
        <f>G495+G499</f>
        <v>0</v>
      </c>
      <c r="H494" s="122" t="e">
        <f>H495+H499</f>
        <v>#REF!</v>
      </c>
      <c r="I494" s="734" t="e">
        <f>H494/G494*100</f>
        <v>#REF!</v>
      </c>
      <c r="J494" s="123"/>
      <c r="K494" s="25"/>
      <c r="L494" s="25"/>
      <c r="M494" s="25"/>
    </row>
    <row r="495" spans="1:16" ht="22.5" hidden="1" customHeight="1" x14ac:dyDescent="0.3">
      <c r="A495" s="124"/>
      <c r="B495" s="125"/>
      <c r="C495" s="126"/>
      <c r="D495" s="557" t="s">
        <v>14</v>
      </c>
      <c r="E495" s="48"/>
      <c r="F495" s="48">
        <f>SUM(F496:F497)</f>
        <v>0</v>
      </c>
      <c r="G495" s="48">
        <f>SUM(G496:G497)</f>
        <v>0</v>
      </c>
      <c r="H495" s="48" t="e">
        <f>SUM(H496:H497)</f>
        <v>#REF!</v>
      </c>
      <c r="I495" s="734" t="e">
        <f>H495/G495*100</f>
        <v>#REF!</v>
      </c>
      <c r="J495" s="49"/>
      <c r="K495" s="25"/>
      <c r="L495" s="25"/>
      <c r="M495" s="25"/>
    </row>
    <row r="496" spans="1:16" ht="24" hidden="1" customHeight="1" x14ac:dyDescent="0.25">
      <c r="A496" s="313"/>
      <c r="B496" s="297"/>
      <c r="C496" s="214"/>
      <c r="D496" s="626"/>
      <c r="E496" s="147"/>
      <c r="F496" s="296"/>
      <c r="G496" s="39"/>
      <c r="H496" s="39" t="e">
        <f>G496-#REF!</f>
        <v>#REF!</v>
      </c>
      <c r="I496" s="734" t="e">
        <f>H496/G496*100</f>
        <v>#REF!</v>
      </c>
      <c r="J496" s="89"/>
      <c r="K496" s="25"/>
      <c r="L496" s="25"/>
      <c r="M496" s="25"/>
    </row>
    <row r="497" spans="1:13" ht="24" hidden="1" customHeight="1" x14ac:dyDescent="0.25">
      <c r="A497" s="313"/>
      <c r="B497" s="297"/>
      <c r="C497" s="214"/>
      <c r="D497" s="626"/>
      <c r="E497" s="147"/>
      <c r="F497" s="296"/>
      <c r="G497" s="39"/>
      <c r="H497" s="39" t="e">
        <f>G497-#REF!</f>
        <v>#REF!</v>
      </c>
      <c r="I497" s="734" t="e">
        <f>H497/G497*100</f>
        <v>#REF!</v>
      </c>
      <c r="J497" s="89"/>
      <c r="K497" s="25"/>
      <c r="L497" s="25"/>
      <c r="M497" s="25"/>
    </row>
    <row r="498" spans="1:13" ht="22.5" hidden="1" customHeight="1" x14ac:dyDescent="0.25">
      <c r="A498" s="313"/>
      <c r="B498" s="297"/>
      <c r="C498" s="214"/>
      <c r="D498" s="587"/>
      <c r="E498" s="147"/>
      <c r="F498" s="296"/>
      <c r="G498" s="39"/>
      <c r="H498" s="39"/>
      <c r="I498" s="734" t="e">
        <f>H498/G498*100</f>
        <v>#DIV/0!</v>
      </c>
      <c r="J498" s="89"/>
      <c r="K498" s="25"/>
      <c r="L498" s="25"/>
      <c r="M498" s="25"/>
    </row>
    <row r="499" spans="1:13" ht="22.5" hidden="1" customHeight="1" x14ac:dyDescent="0.3">
      <c r="A499" s="124"/>
      <c r="B499" s="125"/>
      <c r="C499" s="126"/>
      <c r="D499" s="557" t="s">
        <v>16</v>
      </c>
      <c r="E499" s="48"/>
      <c r="F499" s="48">
        <f>SUM(F500:F501)</f>
        <v>0</v>
      </c>
      <c r="G499" s="48">
        <f>SUM(G500:G501)</f>
        <v>0</v>
      </c>
      <c r="H499" s="48" t="e">
        <f>SUM(H500:H501)</f>
        <v>#REF!</v>
      </c>
      <c r="I499" s="734" t="e">
        <f>H499/G499*100</f>
        <v>#REF!</v>
      </c>
      <c r="J499" s="49"/>
      <c r="K499" s="25"/>
      <c r="L499" s="25"/>
      <c r="M499" s="25"/>
    </row>
    <row r="500" spans="1:13" ht="48" hidden="1" customHeight="1" x14ac:dyDescent="0.25">
      <c r="A500" s="313"/>
      <c r="B500" s="297"/>
      <c r="C500" s="214"/>
      <c r="D500" s="627"/>
      <c r="E500" s="147"/>
      <c r="F500" s="296">
        <f>500000-500000</f>
        <v>0</v>
      </c>
      <c r="G500" s="39">
        <f>50000+450000-500000</f>
        <v>0</v>
      </c>
      <c r="H500" s="39" t="e">
        <f>G500-#REF!</f>
        <v>#REF!</v>
      </c>
      <c r="I500" s="734" t="e">
        <f>H500/G500*100</f>
        <v>#REF!</v>
      </c>
      <c r="J500" s="89"/>
      <c r="K500" s="25"/>
      <c r="L500" s="25"/>
      <c r="M500" s="25"/>
    </row>
    <row r="501" spans="1:13" ht="22.5" hidden="1" customHeight="1" x14ac:dyDescent="0.25">
      <c r="A501" s="313"/>
      <c r="B501" s="297"/>
      <c r="C501" s="214"/>
      <c r="D501" s="587"/>
      <c r="E501" s="147"/>
      <c r="F501" s="296"/>
      <c r="G501" s="39"/>
      <c r="H501" s="39"/>
      <c r="I501" s="734" t="e">
        <f>H501/G501*100</f>
        <v>#DIV/0!</v>
      </c>
      <c r="J501" s="89"/>
      <c r="K501" s="25"/>
      <c r="L501" s="25"/>
      <c r="M501" s="25"/>
    </row>
    <row r="502" spans="1:13" ht="33" hidden="1" customHeight="1" x14ac:dyDescent="0.25">
      <c r="A502" s="317" t="s">
        <v>99</v>
      </c>
      <c r="B502" s="231" t="s">
        <v>41</v>
      </c>
      <c r="C502" s="216"/>
      <c r="D502" s="588"/>
      <c r="E502" s="318">
        <f t="shared" ref="E502:H502" si="115">E503</f>
        <v>0</v>
      </c>
      <c r="F502" s="318">
        <f t="shared" si="115"/>
        <v>0</v>
      </c>
      <c r="G502" s="318">
        <f t="shared" si="115"/>
        <v>0</v>
      </c>
      <c r="H502" s="122" t="e">
        <f t="shared" si="115"/>
        <v>#REF!</v>
      </c>
      <c r="I502" s="734" t="e">
        <f>H502/G502*100</f>
        <v>#REF!</v>
      </c>
      <c r="J502" s="123"/>
      <c r="K502" s="25"/>
      <c r="L502" s="25"/>
      <c r="M502" s="25"/>
    </row>
    <row r="503" spans="1:13" ht="27.75" hidden="1" customHeight="1" x14ac:dyDescent="0.3">
      <c r="A503" s="319"/>
      <c r="B503" s="320"/>
      <c r="C503" s="321"/>
      <c r="D503" s="628" t="s">
        <v>14</v>
      </c>
      <c r="E503" s="322">
        <f>SUM(E505)</f>
        <v>0</v>
      </c>
      <c r="F503" s="322">
        <f>SUM(F504:F505)</f>
        <v>0</v>
      </c>
      <c r="G503" s="322">
        <f>SUM(G504:G505)</f>
        <v>0</v>
      </c>
      <c r="H503" s="322" t="e">
        <f>SUM(H504:H505)</f>
        <v>#REF!</v>
      </c>
      <c r="I503" s="734" t="e">
        <f>H503/G503*100</f>
        <v>#REF!</v>
      </c>
      <c r="J503" s="323"/>
      <c r="K503" s="25"/>
      <c r="L503" s="25"/>
      <c r="M503" s="25"/>
    </row>
    <row r="504" spans="1:13" hidden="1" x14ac:dyDescent="0.25">
      <c r="A504" s="179"/>
      <c r="B504" s="212"/>
      <c r="C504" s="238"/>
      <c r="D504" s="446"/>
      <c r="E504" s="324"/>
      <c r="F504" s="310"/>
      <c r="G504" s="310"/>
      <c r="H504" s="39" t="e">
        <f>G504-#REF!</f>
        <v>#REF!</v>
      </c>
      <c r="I504" s="734" t="e">
        <f>H504/G504*100</f>
        <v>#REF!</v>
      </c>
      <c r="J504" s="89"/>
      <c r="K504" s="25"/>
      <c r="L504" s="25"/>
      <c r="M504" s="25"/>
    </row>
    <row r="505" spans="1:13" ht="19.5" hidden="1" customHeight="1" x14ac:dyDescent="0.25">
      <c r="A505" s="313"/>
      <c r="B505" s="297"/>
      <c r="C505" s="214"/>
      <c r="D505" s="446"/>
      <c r="E505" s="325"/>
      <c r="F505" s="325"/>
      <c r="G505" s="325"/>
      <c r="H505" s="39" t="e">
        <f>G505-#REF!</f>
        <v>#REF!</v>
      </c>
      <c r="I505" s="734" t="e">
        <f>H505/G505*100</f>
        <v>#REF!</v>
      </c>
      <c r="J505" s="89"/>
      <c r="K505" s="25"/>
      <c r="L505" s="25"/>
      <c r="M505" s="25"/>
    </row>
    <row r="506" spans="1:13" ht="21.75" hidden="1" customHeight="1" x14ac:dyDescent="0.3">
      <c r="A506" s="86" t="s">
        <v>100</v>
      </c>
      <c r="B506" s="120">
        <v>7324</v>
      </c>
      <c r="C506" s="121"/>
      <c r="D506" s="558"/>
      <c r="E506" s="122"/>
      <c r="F506" s="122">
        <f>F507</f>
        <v>0</v>
      </c>
      <c r="G506" s="122">
        <f>G507</f>
        <v>0</v>
      </c>
      <c r="H506" s="122" t="e">
        <f>H507</f>
        <v>#REF!</v>
      </c>
      <c r="I506" s="734" t="e">
        <f>H506/G506*100</f>
        <v>#REF!</v>
      </c>
      <c r="J506" s="123"/>
      <c r="K506" s="25"/>
      <c r="L506" s="25"/>
      <c r="M506" s="25"/>
    </row>
    <row r="507" spans="1:13" ht="21.75" hidden="1" customHeight="1" x14ac:dyDescent="0.3">
      <c r="A507" s="124"/>
      <c r="B507" s="125"/>
      <c r="C507" s="126"/>
      <c r="D507" s="557" t="s">
        <v>15</v>
      </c>
      <c r="E507" s="48"/>
      <c r="F507" s="48">
        <f>SUM(F508)</f>
        <v>0</v>
      </c>
      <c r="G507" s="48">
        <f>SUM(G508)</f>
        <v>0</v>
      </c>
      <c r="H507" s="48" t="e">
        <f>SUM(H508)</f>
        <v>#REF!</v>
      </c>
      <c r="I507" s="734" t="e">
        <f>H507/G507*100</f>
        <v>#REF!</v>
      </c>
      <c r="J507" s="49"/>
      <c r="K507" s="25"/>
      <c r="L507" s="25"/>
      <c r="M507" s="25"/>
    </row>
    <row r="508" spans="1:13" ht="26.25" hidden="1" customHeight="1" x14ac:dyDescent="0.3">
      <c r="A508" s="313"/>
      <c r="B508" s="297"/>
      <c r="C508" s="214"/>
      <c r="D508" s="629"/>
      <c r="E508" s="326"/>
      <c r="F508" s="325"/>
      <c r="G508" s="83"/>
      <c r="H508" s="39" t="e">
        <f>G508-#REF!</f>
        <v>#REF!</v>
      </c>
      <c r="I508" s="734" t="e">
        <f>H508/G508*100</f>
        <v>#REF!</v>
      </c>
      <c r="J508" s="89"/>
      <c r="K508" s="25"/>
      <c r="L508" s="25"/>
      <c r="M508" s="25"/>
    </row>
    <row r="509" spans="1:13" ht="24.75" hidden="1" customHeight="1" x14ac:dyDescent="0.25">
      <c r="A509" s="313"/>
      <c r="B509" s="297"/>
      <c r="C509" s="214"/>
      <c r="D509" s="587"/>
      <c r="E509" s="326"/>
      <c r="F509" s="325"/>
      <c r="G509" s="83"/>
      <c r="H509" s="39"/>
      <c r="I509" s="734" t="e">
        <f>H509/G509*100</f>
        <v>#DIV/0!</v>
      </c>
      <c r="J509" s="89"/>
      <c r="K509" s="25"/>
      <c r="L509" s="25"/>
      <c r="M509" s="25"/>
    </row>
    <row r="510" spans="1:13" ht="21.75" customHeight="1" x14ac:dyDescent="0.3">
      <c r="A510" s="86" t="s">
        <v>101</v>
      </c>
      <c r="B510" s="120">
        <v>7325</v>
      </c>
      <c r="C510" s="121"/>
      <c r="D510" s="558"/>
      <c r="E510" s="122">
        <f t="shared" ref="E510:H510" si="116">E511+E517</f>
        <v>450000</v>
      </c>
      <c r="F510" s="122">
        <f t="shared" si="116"/>
        <v>768684</v>
      </c>
      <c r="G510" s="122">
        <f t="shared" si="116"/>
        <v>768684</v>
      </c>
      <c r="H510" s="122">
        <f t="shared" si="116"/>
        <v>0</v>
      </c>
      <c r="I510" s="745">
        <f>H510/G510*100</f>
        <v>0</v>
      </c>
      <c r="J510" s="123"/>
      <c r="K510" s="25"/>
      <c r="L510" s="25"/>
      <c r="M510" s="25"/>
    </row>
    <row r="511" spans="1:13" ht="24.75" customHeight="1" x14ac:dyDescent="0.3">
      <c r="A511" s="124"/>
      <c r="B511" s="125"/>
      <c r="C511" s="126"/>
      <c r="D511" s="557" t="s">
        <v>14</v>
      </c>
      <c r="E511" s="48">
        <f>SUM(E512:E515)</f>
        <v>0</v>
      </c>
      <c r="F511" s="48">
        <f t="shared" ref="F511:H511" si="117">SUM(F512:F515)</f>
        <v>768684</v>
      </c>
      <c r="G511" s="48">
        <f t="shared" si="117"/>
        <v>768684</v>
      </c>
      <c r="H511" s="48">
        <f t="shared" si="117"/>
        <v>0</v>
      </c>
      <c r="I511" s="744">
        <f>H511/G511*100</f>
        <v>0</v>
      </c>
      <c r="J511" s="123"/>
      <c r="K511" s="25"/>
      <c r="L511" s="25"/>
      <c r="M511" s="25"/>
    </row>
    <row r="512" spans="1:13" ht="56.25" customHeight="1" x14ac:dyDescent="0.25">
      <c r="A512" s="313"/>
      <c r="B512" s="297"/>
      <c r="C512" s="214"/>
      <c r="D512" s="592" t="s">
        <v>214</v>
      </c>
      <c r="E512" s="519"/>
      <c r="F512" s="519">
        <f>318684</f>
        <v>318684</v>
      </c>
      <c r="G512" s="39">
        <f>318684</f>
        <v>318684</v>
      </c>
      <c r="H512" s="39"/>
      <c r="I512" s="734">
        <f>H512/G512*100</f>
        <v>0</v>
      </c>
      <c r="J512" s="89"/>
      <c r="K512" s="25"/>
      <c r="L512" s="25"/>
      <c r="M512" s="25"/>
    </row>
    <row r="513" spans="1:13" ht="55.5" customHeight="1" x14ac:dyDescent="0.25">
      <c r="A513" s="313"/>
      <c r="B513" s="297"/>
      <c r="C513" s="214"/>
      <c r="D513" s="592" t="s">
        <v>215</v>
      </c>
      <c r="E513" s="326"/>
      <c r="F513" s="296">
        <f>450000</f>
        <v>450000</v>
      </c>
      <c r="G513" s="39">
        <f>450000</f>
        <v>450000</v>
      </c>
      <c r="H513" s="39"/>
      <c r="I513" s="734">
        <f>H513/G513*100</f>
        <v>0</v>
      </c>
      <c r="J513" s="89"/>
      <c r="K513" s="25"/>
      <c r="L513" s="25"/>
      <c r="M513" s="25"/>
    </row>
    <row r="514" spans="1:13" ht="35.25" customHeight="1" x14ac:dyDescent="0.25">
      <c r="A514" s="313"/>
      <c r="B514" s="297"/>
      <c r="C514" s="214"/>
      <c r="D514" s="513" t="s">
        <v>251</v>
      </c>
      <c r="E514" s="326"/>
      <c r="F514" s="296">
        <f>1500000-1500000</f>
        <v>0</v>
      </c>
      <c r="G514" s="83"/>
      <c r="H514" s="39"/>
      <c r="I514" s="734"/>
      <c r="J514" s="89"/>
      <c r="K514" s="25"/>
      <c r="L514" s="25"/>
      <c r="M514" s="25"/>
    </row>
    <row r="515" spans="1:13" ht="35.25" customHeight="1" x14ac:dyDescent="0.25">
      <c r="A515" s="313"/>
      <c r="B515" s="297"/>
      <c r="C515" s="214"/>
      <c r="D515" s="513" t="s">
        <v>252</v>
      </c>
      <c r="E515" s="326"/>
      <c r="F515" s="296">
        <f>1500000-1500000</f>
        <v>0</v>
      </c>
      <c r="G515" s="83"/>
      <c r="H515" s="39"/>
      <c r="I515" s="734"/>
      <c r="J515" s="89"/>
      <c r="K515" s="25"/>
      <c r="L515" s="25"/>
      <c r="M515" s="25"/>
    </row>
    <row r="516" spans="1:13" ht="18" customHeight="1" x14ac:dyDescent="0.25">
      <c r="A516" s="313"/>
      <c r="B516" s="297"/>
      <c r="C516" s="214"/>
      <c r="D516" s="716"/>
      <c r="E516" s="326"/>
      <c r="F516" s="325"/>
      <c r="G516" s="83"/>
      <c r="H516" s="39"/>
      <c r="I516" s="734"/>
      <c r="J516" s="89"/>
      <c r="K516" s="25"/>
      <c r="L516" s="25"/>
      <c r="M516" s="25"/>
    </row>
    <row r="517" spans="1:13" ht="24.75" customHeight="1" x14ac:dyDescent="0.3">
      <c r="A517" s="124"/>
      <c r="B517" s="125"/>
      <c r="C517" s="126"/>
      <c r="D517" s="557" t="s">
        <v>16</v>
      </c>
      <c r="E517" s="48">
        <f t="shared" ref="E517:G517" si="118">SUM(E518:E520)</f>
        <v>450000</v>
      </c>
      <c r="F517" s="48">
        <f t="shared" si="118"/>
        <v>0</v>
      </c>
      <c r="G517" s="48">
        <f t="shared" si="118"/>
        <v>0</v>
      </c>
      <c r="H517" s="48">
        <f>SUM(H518)</f>
        <v>0</v>
      </c>
      <c r="I517" s="744"/>
      <c r="J517" s="49"/>
      <c r="K517" s="25"/>
      <c r="L517" s="25"/>
      <c r="M517" s="25"/>
    </row>
    <row r="518" spans="1:13" ht="54" customHeight="1" x14ac:dyDescent="0.25">
      <c r="A518" s="313"/>
      <c r="B518" s="297"/>
      <c r="C518" s="214"/>
      <c r="D518" s="612" t="s">
        <v>183</v>
      </c>
      <c r="E518" s="519">
        <v>450000</v>
      </c>
      <c r="F518" s="519">
        <f>450000-450000</f>
        <v>0</v>
      </c>
      <c r="G518" s="83"/>
      <c r="H518" s="39"/>
      <c r="I518" s="734"/>
      <c r="J518" s="89"/>
      <c r="K518" s="25"/>
      <c r="L518" s="25"/>
      <c r="M518" s="25"/>
    </row>
    <row r="519" spans="1:13" ht="25.5" hidden="1" customHeight="1" x14ac:dyDescent="0.25">
      <c r="A519" s="313"/>
      <c r="B519" s="297"/>
      <c r="C519" s="214"/>
      <c r="D519" s="540"/>
      <c r="E519" s="326"/>
      <c r="F519" s="325"/>
      <c r="G519" s="83"/>
      <c r="H519" s="39" t="e">
        <f>G519-#REF!</f>
        <v>#REF!</v>
      </c>
      <c r="I519" s="734"/>
      <c r="J519" s="89"/>
      <c r="K519" s="25"/>
      <c r="L519" s="25"/>
      <c r="M519" s="25"/>
    </row>
    <row r="520" spans="1:13" ht="25.5" hidden="1" customHeight="1" x14ac:dyDescent="0.25">
      <c r="A520" s="313"/>
      <c r="B520" s="297"/>
      <c r="C520" s="214"/>
      <c r="D520" s="540"/>
      <c r="E520" s="326"/>
      <c r="F520" s="325"/>
      <c r="G520" s="83"/>
      <c r="H520" s="39" t="e">
        <f>G520-#REF!</f>
        <v>#REF!</v>
      </c>
      <c r="I520" s="734"/>
      <c r="J520" s="89"/>
      <c r="K520" s="25"/>
      <c r="L520" s="25"/>
      <c r="M520" s="25"/>
    </row>
    <row r="521" spans="1:13" ht="24.75" hidden="1" customHeight="1" x14ac:dyDescent="0.25">
      <c r="A521" s="313"/>
      <c r="B521" s="297"/>
      <c r="C521" s="214"/>
      <c r="D521" s="587"/>
      <c r="E521" s="326"/>
      <c r="F521" s="325"/>
      <c r="G521" s="83"/>
      <c r="H521" s="39"/>
      <c r="I521" s="734"/>
      <c r="J521" s="89"/>
      <c r="K521" s="25"/>
      <c r="L521" s="25"/>
      <c r="M521" s="25"/>
    </row>
    <row r="522" spans="1:13" ht="24.75" hidden="1" customHeight="1" x14ac:dyDescent="0.25">
      <c r="A522" s="231" t="s">
        <v>102</v>
      </c>
      <c r="B522" s="206">
        <v>7330</v>
      </c>
      <c r="C522" s="165"/>
      <c r="D522" s="98"/>
      <c r="E522" s="327">
        <f>E523</f>
        <v>0</v>
      </c>
      <c r="F522" s="99">
        <f>F523+F526</f>
        <v>0</v>
      </c>
      <c r="G522" s="99">
        <f>G523+G526</f>
        <v>0</v>
      </c>
      <c r="H522" s="99" t="e">
        <f>H523+H526</f>
        <v>#REF!</v>
      </c>
      <c r="I522" s="734"/>
      <c r="J522" s="100"/>
      <c r="K522" s="25"/>
      <c r="L522" s="25"/>
      <c r="M522" s="25"/>
    </row>
    <row r="523" spans="1:13" ht="24.75" hidden="1" customHeight="1" x14ac:dyDescent="0.3">
      <c r="A523" s="166"/>
      <c r="B523" s="167"/>
      <c r="C523" s="168"/>
      <c r="D523" s="557" t="s">
        <v>14</v>
      </c>
      <c r="E523" s="328">
        <f t="shared" ref="E523:H523" si="119">SUM(E524)</f>
        <v>0</v>
      </c>
      <c r="F523" s="46">
        <f t="shared" si="119"/>
        <v>0</v>
      </c>
      <c r="G523" s="46">
        <f t="shared" si="119"/>
        <v>0</v>
      </c>
      <c r="H523" s="46" t="e">
        <f t="shared" si="119"/>
        <v>#REF!</v>
      </c>
      <c r="I523" s="734"/>
      <c r="J523" s="47"/>
      <c r="K523" s="25"/>
      <c r="L523" s="25"/>
      <c r="M523" s="25"/>
    </row>
    <row r="524" spans="1:13" hidden="1" x14ac:dyDescent="0.25">
      <c r="A524" s="84"/>
      <c r="B524" s="164"/>
      <c r="C524" s="161"/>
      <c r="D524" s="630"/>
      <c r="E524" s="329"/>
      <c r="F524" s="38"/>
      <c r="G524" s="38"/>
      <c r="H524" s="39" t="e">
        <f>G524-#REF!</f>
        <v>#REF!</v>
      </c>
      <c r="I524" s="734"/>
      <c r="J524" s="89"/>
      <c r="K524" s="25"/>
      <c r="L524" s="25"/>
      <c r="M524" s="25"/>
    </row>
    <row r="525" spans="1:13" ht="9.75" hidden="1" customHeight="1" x14ac:dyDescent="0.25">
      <c r="A525" s="84"/>
      <c r="B525" s="164"/>
      <c r="C525" s="161"/>
      <c r="D525" s="598"/>
      <c r="E525" s="329"/>
      <c r="F525" s="330"/>
      <c r="G525" s="330"/>
      <c r="H525" s="83"/>
      <c r="I525" s="734"/>
      <c r="J525" s="331"/>
      <c r="K525" s="25"/>
      <c r="L525" s="25"/>
      <c r="M525" s="25"/>
    </row>
    <row r="526" spans="1:13" ht="33" hidden="1" customHeight="1" x14ac:dyDescent="0.3">
      <c r="A526" s="166"/>
      <c r="B526" s="167"/>
      <c r="C526" s="168"/>
      <c r="D526" s="557" t="s">
        <v>16</v>
      </c>
      <c r="E526" s="328">
        <f>SUM(E527)</f>
        <v>0</v>
      </c>
      <c r="F526" s="46">
        <f>SUM(F527:F530)</f>
        <v>0</v>
      </c>
      <c r="G526" s="46">
        <f>SUM(G527:G530)</f>
        <v>0</v>
      </c>
      <c r="H526" s="46" t="e">
        <f>SUM(H527:H530)</f>
        <v>#REF!</v>
      </c>
      <c r="I526" s="734"/>
      <c r="J526" s="47"/>
      <c r="K526" s="25"/>
      <c r="L526" s="25"/>
      <c r="M526" s="25"/>
    </row>
    <row r="527" spans="1:13" ht="23.25" hidden="1" customHeight="1" x14ac:dyDescent="0.25">
      <c r="A527" s="84"/>
      <c r="B527" s="164"/>
      <c r="C527" s="161"/>
      <c r="D527" s="540"/>
      <c r="E527" s="329"/>
      <c r="F527" s="39"/>
      <c r="G527" s="38"/>
      <c r="H527" s="39" t="e">
        <f>G527-#REF!</f>
        <v>#REF!</v>
      </c>
      <c r="I527" s="734"/>
      <c r="J527" s="89"/>
      <c r="K527" s="25"/>
      <c r="L527" s="25"/>
      <c r="M527" s="25"/>
    </row>
    <row r="528" spans="1:13" ht="23.25" hidden="1" customHeight="1" x14ac:dyDescent="0.25">
      <c r="A528" s="84"/>
      <c r="B528" s="164"/>
      <c r="C528" s="161"/>
      <c r="D528" s="540"/>
      <c r="E528" s="329"/>
      <c r="F528" s="39"/>
      <c r="G528" s="38"/>
      <c r="H528" s="39" t="e">
        <f>G528-#REF!</f>
        <v>#REF!</v>
      </c>
      <c r="I528" s="734"/>
      <c r="J528" s="89"/>
      <c r="K528" s="25"/>
      <c r="L528" s="25"/>
      <c r="M528" s="25"/>
    </row>
    <row r="529" spans="1:16" ht="23.25" hidden="1" customHeight="1" x14ac:dyDescent="0.25">
      <c r="A529" s="84"/>
      <c r="B529" s="164"/>
      <c r="C529" s="161"/>
      <c r="D529" s="540"/>
      <c r="E529" s="329"/>
      <c r="F529" s="39"/>
      <c r="G529" s="38"/>
      <c r="H529" s="39" t="e">
        <f>G529-#REF!</f>
        <v>#REF!</v>
      </c>
      <c r="I529" s="734"/>
      <c r="J529" s="89"/>
      <c r="K529" s="25"/>
      <c r="L529" s="25"/>
      <c r="M529" s="25"/>
    </row>
    <row r="530" spans="1:16" ht="23.25" hidden="1" customHeight="1" x14ac:dyDescent="0.25">
      <c r="A530" s="84"/>
      <c r="B530" s="164"/>
      <c r="C530" s="161"/>
      <c r="D530" s="540"/>
      <c r="E530" s="329"/>
      <c r="F530" s="39"/>
      <c r="G530" s="38"/>
      <c r="H530" s="39" t="e">
        <f>G530-#REF!</f>
        <v>#REF!</v>
      </c>
      <c r="I530" s="734"/>
      <c r="J530" s="89"/>
      <c r="K530" s="25"/>
      <c r="L530" s="25"/>
      <c r="M530" s="25"/>
    </row>
    <row r="531" spans="1:16" ht="24.75" hidden="1" customHeight="1" x14ac:dyDescent="0.25">
      <c r="A531" s="231" t="s">
        <v>103</v>
      </c>
      <c r="B531" s="206">
        <v>7340</v>
      </c>
      <c r="C531" s="165"/>
      <c r="D531" s="98"/>
      <c r="E531" s="327">
        <f t="shared" ref="E531:H531" si="120">E532</f>
        <v>0</v>
      </c>
      <c r="F531" s="99">
        <f t="shared" si="120"/>
        <v>0</v>
      </c>
      <c r="G531" s="99">
        <f t="shared" si="120"/>
        <v>0</v>
      </c>
      <c r="H531" s="99" t="e">
        <f t="shared" si="120"/>
        <v>#REF!</v>
      </c>
      <c r="I531" s="734"/>
      <c r="J531" s="100"/>
      <c r="K531" s="25"/>
      <c r="L531" s="25"/>
      <c r="M531" s="25"/>
    </row>
    <row r="532" spans="1:16" ht="24.75" hidden="1" customHeight="1" x14ac:dyDescent="0.3">
      <c r="A532" s="166"/>
      <c r="B532" s="167"/>
      <c r="C532" s="168"/>
      <c r="D532" s="557" t="s">
        <v>46</v>
      </c>
      <c r="E532" s="328">
        <f>SUM(E533)</f>
        <v>0</v>
      </c>
      <c r="F532" s="46">
        <f>SUM(F533:F534)</f>
        <v>0</v>
      </c>
      <c r="G532" s="46">
        <f>SUM(G533:G534)</f>
        <v>0</v>
      </c>
      <c r="H532" s="46" t="e">
        <f>SUM(H533:H534)</f>
        <v>#REF!</v>
      </c>
      <c r="I532" s="734"/>
      <c r="J532" s="47"/>
      <c r="K532" s="25"/>
      <c r="L532" s="25"/>
      <c r="M532" s="25"/>
    </row>
    <row r="533" spans="1:16" ht="25.5" hidden="1" customHeight="1" x14ac:dyDescent="0.25">
      <c r="A533" s="313"/>
      <c r="B533" s="297"/>
      <c r="C533" s="214"/>
      <c r="D533" s="540"/>
      <c r="E533" s="326"/>
      <c r="F533" s="296"/>
      <c r="G533" s="39"/>
      <c r="H533" s="39" t="e">
        <f>G533-#REF!</f>
        <v>#REF!</v>
      </c>
      <c r="I533" s="734"/>
      <c r="J533" s="89"/>
      <c r="K533" s="25"/>
      <c r="L533" s="25"/>
      <c r="M533" s="25"/>
    </row>
    <row r="534" spans="1:16" ht="25.5" hidden="1" customHeight="1" x14ac:dyDescent="0.25">
      <c r="A534" s="313"/>
      <c r="B534" s="297"/>
      <c r="C534" s="214"/>
      <c r="D534" s="609"/>
      <c r="E534" s="326"/>
      <c r="F534" s="296"/>
      <c r="G534" s="39"/>
      <c r="H534" s="39" t="e">
        <f>G534-#REF!</f>
        <v>#REF!</v>
      </c>
      <c r="I534" s="734"/>
      <c r="J534" s="89"/>
      <c r="K534" s="25"/>
      <c r="L534" s="25"/>
      <c r="M534" s="25"/>
    </row>
    <row r="535" spans="1:16" ht="16.5" customHeight="1" x14ac:dyDescent="0.25">
      <c r="A535" s="313"/>
      <c r="B535" s="297"/>
      <c r="C535" s="214"/>
      <c r="D535" s="587"/>
      <c r="E535" s="326"/>
      <c r="F535" s="325"/>
      <c r="G535" s="83"/>
      <c r="H535" s="83"/>
      <c r="I535" s="734"/>
      <c r="J535" s="331"/>
      <c r="K535" s="25"/>
      <c r="L535" s="25"/>
      <c r="M535" s="25"/>
    </row>
    <row r="536" spans="1:16" ht="21" customHeight="1" x14ac:dyDescent="0.25">
      <c r="A536" s="175" t="s">
        <v>104</v>
      </c>
      <c r="B536" s="206">
        <v>7370</v>
      </c>
      <c r="C536" s="216"/>
      <c r="D536" s="588"/>
      <c r="E536" s="122">
        <f t="shared" ref="E536:H536" si="121">E537+E542+E583</f>
        <v>41800000</v>
      </c>
      <c r="F536" s="122">
        <f t="shared" si="121"/>
        <v>42859876</v>
      </c>
      <c r="G536" s="122">
        <f t="shared" si="121"/>
        <v>17111441</v>
      </c>
      <c r="H536" s="122">
        <f t="shared" si="121"/>
        <v>3902081.14</v>
      </c>
      <c r="I536" s="745">
        <f>H536/G536*100</f>
        <v>22.803930656687534</v>
      </c>
      <c r="J536" s="123"/>
      <c r="K536" s="24"/>
      <c r="L536" s="24"/>
      <c r="M536" s="25"/>
    </row>
    <row r="537" spans="1:16" s="53" customFormat="1" ht="21" customHeight="1" x14ac:dyDescent="0.3">
      <c r="A537" s="254"/>
      <c r="B537" s="320"/>
      <c r="C537" s="219"/>
      <c r="D537" s="557" t="s">
        <v>14</v>
      </c>
      <c r="E537" s="48">
        <f>SUM(E538:E541)</f>
        <v>300000</v>
      </c>
      <c r="F537" s="48">
        <f>SUM(F538:F541)</f>
        <v>300000</v>
      </c>
      <c r="G537" s="48">
        <f t="shared" ref="G537" si="122">SUM(G538:G541)</f>
        <v>300000</v>
      </c>
      <c r="H537" s="48">
        <f>SUM(H538:H540)</f>
        <v>0</v>
      </c>
      <c r="I537" s="744">
        <f>H537/G537*100</f>
        <v>0</v>
      </c>
      <c r="J537" s="49"/>
      <c r="K537" s="51"/>
      <c r="L537" s="51"/>
      <c r="M537" s="51"/>
      <c r="N537" s="52"/>
      <c r="O537" s="52"/>
      <c r="P537" s="52"/>
    </row>
    <row r="538" spans="1:16" ht="90" customHeight="1" x14ac:dyDescent="0.25">
      <c r="A538" s="313"/>
      <c r="B538" s="188"/>
      <c r="C538" s="212"/>
      <c r="D538" s="612" t="s">
        <v>184</v>
      </c>
      <c r="E538" s="519">
        <v>300000</v>
      </c>
      <c r="F538" s="519">
        <f>300000-300000</f>
        <v>0</v>
      </c>
      <c r="G538" s="54"/>
      <c r="H538" s="39"/>
      <c r="I538" s="734"/>
      <c r="J538" s="89"/>
      <c r="K538" s="25"/>
      <c r="L538" s="25"/>
      <c r="M538" s="25"/>
    </row>
    <row r="539" spans="1:16" ht="96.75" customHeight="1" x14ac:dyDescent="0.25">
      <c r="A539" s="313"/>
      <c r="B539" s="188"/>
      <c r="C539" s="212"/>
      <c r="D539" s="612" t="s">
        <v>216</v>
      </c>
      <c r="E539" s="296"/>
      <c r="F539" s="54">
        <f>300000</f>
        <v>300000</v>
      </c>
      <c r="G539" s="54">
        <f>150000+150000</f>
        <v>300000</v>
      </c>
      <c r="H539" s="39"/>
      <c r="I539" s="734">
        <f>H539/G539*100</f>
        <v>0</v>
      </c>
      <c r="J539" s="89"/>
      <c r="K539" s="25"/>
      <c r="L539" s="25"/>
      <c r="M539" s="25"/>
    </row>
    <row r="540" spans="1:16" ht="40.5" customHeight="1" x14ac:dyDescent="0.25">
      <c r="A540" s="313"/>
      <c r="B540" s="188"/>
      <c r="C540" s="212"/>
      <c r="D540" s="612" t="s">
        <v>235</v>
      </c>
      <c r="E540" s="296"/>
      <c r="F540" s="54">
        <f>500000-500000</f>
        <v>0</v>
      </c>
      <c r="G540" s="54">
        <f>200000-200000</f>
        <v>0</v>
      </c>
      <c r="H540" s="39"/>
      <c r="I540" s="734"/>
      <c r="J540" s="89"/>
      <c r="K540" s="25"/>
      <c r="L540" s="25"/>
      <c r="M540" s="25"/>
    </row>
    <row r="541" spans="1:16" ht="12.75" customHeight="1" x14ac:dyDescent="0.25">
      <c r="A541" s="313"/>
      <c r="B541" s="188"/>
      <c r="C541" s="212"/>
      <c r="D541" s="446"/>
      <c r="E541" s="296"/>
      <c r="F541" s="54"/>
      <c r="G541" s="54"/>
      <c r="H541" s="39"/>
      <c r="I541" s="734"/>
      <c r="J541" s="89"/>
      <c r="K541" s="25"/>
      <c r="L541" s="25"/>
      <c r="M541" s="25"/>
    </row>
    <row r="542" spans="1:16" ht="19.5" customHeight="1" x14ac:dyDescent="0.3">
      <c r="A542" s="166"/>
      <c r="B542" s="167"/>
      <c r="C542" s="168"/>
      <c r="D542" s="557" t="s">
        <v>15</v>
      </c>
      <c r="E542" s="46">
        <f t="shared" ref="E542:H542" si="123">SUM(E543:E575)</f>
        <v>9900000</v>
      </c>
      <c r="F542" s="46">
        <f t="shared" si="123"/>
        <v>23953358</v>
      </c>
      <c r="G542" s="46">
        <f t="shared" si="123"/>
        <v>10204923</v>
      </c>
      <c r="H542" s="46">
        <f t="shared" si="123"/>
        <v>3541339.62</v>
      </c>
      <c r="I542" s="744">
        <f>H542/G542*100</f>
        <v>34.702266935282118</v>
      </c>
      <c r="J542" s="47"/>
      <c r="K542" s="24"/>
      <c r="L542" s="24"/>
      <c r="M542" s="25"/>
    </row>
    <row r="543" spans="1:16" ht="40.5" customHeight="1" x14ac:dyDescent="0.25">
      <c r="A543" s="527"/>
      <c r="B543" s="528"/>
      <c r="C543" s="525"/>
      <c r="D543" s="592" t="s">
        <v>217</v>
      </c>
      <c r="E543" s="526"/>
      <c r="F543" s="526">
        <f>700000-700000</f>
        <v>0</v>
      </c>
      <c r="G543" s="526"/>
      <c r="H543" s="39"/>
      <c r="I543" s="734"/>
      <c r="J543" s="47"/>
      <c r="K543" s="24"/>
      <c r="L543" s="24"/>
      <c r="M543" s="25"/>
    </row>
    <row r="544" spans="1:16" ht="55.5" customHeight="1" x14ac:dyDescent="0.25">
      <c r="A544" s="527"/>
      <c r="B544" s="528"/>
      <c r="C544" s="525"/>
      <c r="D544" s="670" t="s">
        <v>228</v>
      </c>
      <c r="E544" s="526"/>
      <c r="F544" s="526">
        <f>700000+100000</f>
        <v>800000</v>
      </c>
      <c r="G544" s="526">
        <f>9400+626075+64525+82485</f>
        <v>782485</v>
      </c>
      <c r="H544" s="526">
        <f>626558+144727</f>
        <v>771285</v>
      </c>
      <c r="I544" s="734">
        <f>H544/G544*100</f>
        <v>98.568662658070124</v>
      </c>
      <c r="J544" s="47"/>
      <c r="K544" s="24"/>
      <c r="L544" s="24"/>
      <c r="M544" s="25"/>
    </row>
    <row r="545" spans="1:16" ht="37.5" customHeight="1" x14ac:dyDescent="0.25">
      <c r="A545" s="527"/>
      <c r="B545" s="528"/>
      <c r="C545" s="525"/>
      <c r="D545" s="592" t="s">
        <v>218</v>
      </c>
      <c r="E545" s="526"/>
      <c r="F545" s="526">
        <f>500000-500000</f>
        <v>0</v>
      </c>
      <c r="G545" s="526"/>
      <c r="H545" s="39"/>
      <c r="I545" s="734"/>
      <c r="J545" s="47"/>
      <c r="K545" s="24"/>
      <c r="L545" s="24"/>
      <c r="M545" s="25"/>
    </row>
    <row r="546" spans="1:16" ht="48.75" customHeight="1" x14ac:dyDescent="0.25">
      <c r="A546" s="527"/>
      <c r="B546" s="528"/>
      <c r="C546" s="525"/>
      <c r="D546" s="592" t="s">
        <v>253</v>
      </c>
      <c r="E546" s="526"/>
      <c r="F546" s="526">
        <f>1500000</f>
        <v>1500000</v>
      </c>
      <c r="G546" s="526">
        <f>200000+482205-482205-200000</f>
        <v>0</v>
      </c>
      <c r="H546" s="39"/>
      <c r="I546" s="734"/>
      <c r="J546" s="47"/>
      <c r="K546" s="24"/>
      <c r="L546" s="24"/>
      <c r="M546" s="25"/>
    </row>
    <row r="547" spans="1:16" ht="72.75" customHeight="1" x14ac:dyDescent="0.25">
      <c r="A547" s="527"/>
      <c r="B547" s="528"/>
      <c r="C547" s="525"/>
      <c r="D547" s="592" t="s">
        <v>219</v>
      </c>
      <c r="E547" s="526"/>
      <c r="F547" s="526">
        <f>3118157</f>
        <v>3118157</v>
      </c>
      <c r="G547" s="526"/>
      <c r="H547" s="39"/>
      <c r="I547" s="734"/>
      <c r="J547" s="47"/>
      <c r="K547" s="24"/>
      <c r="L547" s="24"/>
      <c r="M547" s="25"/>
    </row>
    <row r="548" spans="1:16" ht="59.25" customHeight="1" x14ac:dyDescent="0.25">
      <c r="A548" s="527"/>
      <c r="B548" s="528"/>
      <c r="C548" s="525"/>
      <c r="D548" s="592" t="s">
        <v>234</v>
      </c>
      <c r="E548" s="526"/>
      <c r="F548" s="526">
        <f>5000000</f>
        <v>5000000</v>
      </c>
      <c r="G548" s="526">
        <f>100000+1900000+1000000+1000000-1800000-1000000-1000000</f>
        <v>200000</v>
      </c>
      <c r="H548" s="526">
        <f>101137+10272</f>
        <v>111409</v>
      </c>
      <c r="I548" s="734">
        <f>H548/G548*100</f>
        <v>55.704500000000003</v>
      </c>
      <c r="J548" s="47"/>
      <c r="K548" s="24"/>
      <c r="L548" s="24"/>
      <c r="M548" s="25"/>
    </row>
    <row r="549" spans="1:16" ht="76.5" customHeight="1" x14ac:dyDescent="0.25">
      <c r="A549" s="697"/>
      <c r="B549" s="528"/>
      <c r="C549" s="698"/>
      <c r="D549" s="720" t="s">
        <v>277</v>
      </c>
      <c r="E549" s="699"/>
      <c r="F549" s="699">
        <f>100000</f>
        <v>100000</v>
      </c>
      <c r="G549" s="699">
        <f>100000</f>
        <v>100000</v>
      </c>
      <c r="H549" s="39"/>
      <c r="I549" s="734">
        <f>H549/G549*100</f>
        <v>0</v>
      </c>
      <c r="J549" s="700"/>
      <c r="K549" s="24"/>
      <c r="L549" s="24"/>
      <c r="M549" s="25"/>
    </row>
    <row r="550" spans="1:16" s="141" customFormat="1" ht="93.75" x14ac:dyDescent="0.25">
      <c r="A550" s="84"/>
      <c r="B550" s="149"/>
      <c r="C550" s="160"/>
      <c r="D550" s="612" t="s">
        <v>185</v>
      </c>
      <c r="E550" s="519">
        <v>200000</v>
      </c>
      <c r="F550" s="519">
        <v>200000</v>
      </c>
      <c r="G550" s="38"/>
      <c r="H550" s="39"/>
      <c r="I550" s="734"/>
      <c r="J550" s="89"/>
      <c r="K550" s="139"/>
      <c r="L550" s="139"/>
      <c r="M550" s="139"/>
      <c r="N550" s="140"/>
      <c r="O550" s="140"/>
      <c r="P550" s="140"/>
    </row>
    <row r="551" spans="1:16" s="141" customFormat="1" ht="100.5" customHeight="1" x14ac:dyDescent="0.25">
      <c r="A551" s="84"/>
      <c r="B551" s="149"/>
      <c r="C551" s="160"/>
      <c r="D551" s="612" t="s">
        <v>186</v>
      </c>
      <c r="E551" s="519">
        <v>200000</v>
      </c>
      <c r="F551" s="519">
        <f>200000-200000</f>
        <v>0</v>
      </c>
      <c r="G551" s="38">
        <f>200000-200000+200000-200000</f>
        <v>0</v>
      </c>
      <c r="H551" s="39"/>
      <c r="I551" s="734"/>
      <c r="J551" s="89"/>
      <c r="K551" s="139"/>
      <c r="L551" s="139"/>
      <c r="M551" s="139"/>
      <c r="N551" s="140"/>
      <c r="O551" s="140"/>
      <c r="P551" s="140"/>
    </row>
    <row r="552" spans="1:16" s="141" customFormat="1" ht="100.5" customHeight="1" x14ac:dyDescent="0.25">
      <c r="A552" s="84"/>
      <c r="B552" s="149"/>
      <c r="C552" s="160"/>
      <c r="D552" s="612" t="s">
        <v>254</v>
      </c>
      <c r="E552" s="519"/>
      <c r="F552" s="519">
        <f>200000</f>
        <v>200000</v>
      </c>
      <c r="G552" s="38">
        <f>200000-200000</f>
        <v>0</v>
      </c>
      <c r="H552" s="39"/>
      <c r="I552" s="734"/>
      <c r="J552" s="89"/>
      <c r="K552" s="139"/>
      <c r="L552" s="139"/>
      <c r="M552" s="139"/>
      <c r="N552" s="140"/>
      <c r="O552" s="140"/>
      <c r="P552" s="140"/>
    </row>
    <row r="553" spans="1:16" s="141" customFormat="1" ht="100.5" customHeight="1" x14ac:dyDescent="0.25">
      <c r="A553" s="84"/>
      <c r="B553" s="149"/>
      <c r="C553" s="160"/>
      <c r="D553" s="619" t="s">
        <v>255</v>
      </c>
      <c r="E553" s="519"/>
      <c r="F553" s="519">
        <f>155632</f>
        <v>155632</v>
      </c>
      <c r="G553" s="38">
        <f>95000</f>
        <v>95000</v>
      </c>
      <c r="H553" s="39">
        <f>95000</f>
        <v>95000</v>
      </c>
      <c r="I553" s="734">
        <f>H553/G553*100</f>
        <v>100</v>
      </c>
      <c r="J553" s="89"/>
      <c r="K553" s="139"/>
      <c r="L553" s="139"/>
      <c r="M553" s="139"/>
      <c r="N553" s="140"/>
      <c r="O553" s="140"/>
      <c r="P553" s="140"/>
    </row>
    <row r="554" spans="1:16" s="141" customFormat="1" ht="95.25" customHeight="1" x14ac:dyDescent="0.25">
      <c r="A554" s="84"/>
      <c r="B554" s="149"/>
      <c r="C554" s="160"/>
      <c r="D554" s="612" t="s">
        <v>187</v>
      </c>
      <c r="E554" s="519">
        <v>200000</v>
      </c>
      <c r="F554" s="519">
        <v>200000</v>
      </c>
      <c r="G554" s="38">
        <f>200000-200000+200000</f>
        <v>200000</v>
      </c>
      <c r="H554" s="39"/>
      <c r="I554" s="734">
        <f>H554/G554*100</f>
        <v>0</v>
      </c>
      <c r="J554" s="89"/>
      <c r="K554" s="139"/>
      <c r="L554" s="139"/>
      <c r="M554" s="139"/>
      <c r="N554" s="140"/>
      <c r="O554" s="140"/>
      <c r="P554" s="140"/>
    </row>
    <row r="555" spans="1:16" s="141" customFormat="1" ht="95.25" customHeight="1" x14ac:dyDescent="0.25">
      <c r="A555" s="84"/>
      <c r="B555" s="149"/>
      <c r="C555" s="160"/>
      <c r="D555" s="612" t="s">
        <v>188</v>
      </c>
      <c r="E555" s="519">
        <v>200000</v>
      </c>
      <c r="F555" s="519">
        <v>200000</v>
      </c>
      <c r="G555" s="38">
        <f>200000-200000+200000</f>
        <v>200000</v>
      </c>
      <c r="H555" s="39"/>
      <c r="I555" s="734">
        <f>H555/G555*100</f>
        <v>0</v>
      </c>
      <c r="J555" s="89"/>
      <c r="K555" s="139"/>
      <c r="L555" s="139"/>
      <c r="M555" s="139"/>
      <c r="N555" s="140"/>
      <c r="O555" s="140"/>
      <c r="P555" s="140"/>
    </row>
    <row r="556" spans="1:16" s="141" customFormat="1" ht="84.75" customHeight="1" x14ac:dyDescent="0.25">
      <c r="A556" s="701"/>
      <c r="B556" s="149"/>
      <c r="C556" s="702"/>
      <c r="D556" s="720" t="s">
        <v>278</v>
      </c>
      <c r="E556" s="703"/>
      <c r="F556" s="703">
        <f>100000</f>
        <v>100000</v>
      </c>
      <c r="G556" s="692">
        <f>100000</f>
        <v>100000</v>
      </c>
      <c r="H556" s="39"/>
      <c r="I556" s="734">
        <f>H556/G556*100</f>
        <v>0</v>
      </c>
      <c r="J556" s="704"/>
      <c r="K556" s="139"/>
      <c r="L556" s="139"/>
      <c r="M556" s="139"/>
      <c r="N556" s="140"/>
      <c r="O556" s="140"/>
      <c r="P556" s="140"/>
    </row>
    <row r="557" spans="1:16" s="141" customFormat="1" ht="96" customHeight="1" x14ac:dyDescent="0.25">
      <c r="A557" s="84"/>
      <c r="B557" s="149"/>
      <c r="C557" s="160"/>
      <c r="D557" s="612" t="s">
        <v>189</v>
      </c>
      <c r="E557" s="519">
        <v>200000</v>
      </c>
      <c r="F557" s="519">
        <v>200000</v>
      </c>
      <c r="G557" s="38">
        <f>200000-200000+200000</f>
        <v>200000</v>
      </c>
      <c r="H557" s="39"/>
      <c r="I557" s="734">
        <f>H557/G557*100</f>
        <v>0</v>
      </c>
      <c r="J557" s="89"/>
      <c r="K557" s="139"/>
      <c r="L557" s="139"/>
      <c r="M557" s="139"/>
      <c r="N557" s="140"/>
      <c r="O557" s="140"/>
      <c r="P557" s="140"/>
    </row>
    <row r="558" spans="1:16" s="141" customFormat="1" ht="74.25" customHeight="1" x14ac:dyDescent="0.25">
      <c r="A558" s="84"/>
      <c r="B558" s="149"/>
      <c r="C558" s="160"/>
      <c r="D558" s="612" t="s">
        <v>190</v>
      </c>
      <c r="E558" s="519">
        <v>300000</v>
      </c>
      <c r="F558" s="519">
        <f>300000-300000</f>
        <v>0</v>
      </c>
      <c r="G558" s="38">
        <f>300000-300000+300000-300000</f>
        <v>0</v>
      </c>
      <c r="H558" s="39"/>
      <c r="I558" s="734"/>
      <c r="J558" s="89"/>
      <c r="K558" s="139"/>
      <c r="L558" s="139"/>
      <c r="M558" s="139"/>
      <c r="N558" s="140"/>
      <c r="O558" s="140"/>
      <c r="P558" s="140"/>
    </row>
    <row r="559" spans="1:16" s="141" customFormat="1" ht="55.5" customHeight="1" x14ac:dyDescent="0.25">
      <c r="A559" s="701"/>
      <c r="B559" s="149"/>
      <c r="C559" s="702"/>
      <c r="D559" s="717" t="s">
        <v>279</v>
      </c>
      <c r="E559" s="703"/>
      <c r="F559" s="703">
        <f>300000</f>
        <v>300000</v>
      </c>
      <c r="G559" s="692">
        <f>300000</f>
        <v>300000</v>
      </c>
      <c r="H559" s="39"/>
      <c r="I559" s="734">
        <f>H559/G559*100</f>
        <v>0</v>
      </c>
      <c r="J559" s="704"/>
      <c r="K559" s="139"/>
      <c r="L559" s="139"/>
      <c r="M559" s="139"/>
      <c r="N559" s="140"/>
      <c r="O559" s="140"/>
      <c r="P559" s="140"/>
    </row>
    <row r="560" spans="1:16" s="141" customFormat="1" ht="99" customHeight="1" x14ac:dyDescent="0.25">
      <c r="A560" s="84"/>
      <c r="B560" s="149"/>
      <c r="C560" s="160"/>
      <c r="D560" s="612" t="s">
        <v>236</v>
      </c>
      <c r="E560" s="519">
        <v>2000000</v>
      </c>
      <c r="F560" s="519">
        <f>2000000-2000000</f>
        <v>0</v>
      </c>
      <c r="G560" s="673">
        <f>2000000-2000000</f>
        <v>0</v>
      </c>
      <c r="H560" s="39"/>
      <c r="I560" s="734"/>
      <c r="J560" s="89"/>
      <c r="K560" s="139"/>
      <c r="L560" s="139"/>
      <c r="M560" s="139"/>
      <c r="N560" s="140"/>
      <c r="O560" s="140"/>
      <c r="P560" s="140"/>
    </row>
    <row r="561" spans="1:16" s="141" customFormat="1" ht="88.5" customHeight="1" x14ac:dyDescent="0.25">
      <c r="A561" s="701"/>
      <c r="B561" s="149"/>
      <c r="C561" s="702"/>
      <c r="D561" s="712" t="s">
        <v>281</v>
      </c>
      <c r="E561" s="703"/>
      <c r="F561" s="703">
        <f>100000</f>
        <v>100000</v>
      </c>
      <c r="G561" s="705"/>
      <c r="H561" s="39"/>
      <c r="I561" s="734"/>
      <c r="J561" s="704"/>
      <c r="K561" s="139"/>
      <c r="L561" s="139"/>
      <c r="M561" s="139"/>
      <c r="N561" s="140"/>
      <c r="O561" s="140"/>
      <c r="P561" s="140"/>
    </row>
    <row r="562" spans="1:16" s="141" customFormat="1" ht="84.75" customHeight="1" x14ac:dyDescent="0.25">
      <c r="A562" s="701"/>
      <c r="B562" s="149"/>
      <c r="C562" s="702"/>
      <c r="D562" s="712" t="s">
        <v>282</v>
      </c>
      <c r="E562" s="703"/>
      <c r="F562" s="703">
        <f>100000</f>
        <v>100000</v>
      </c>
      <c r="G562" s="705"/>
      <c r="H562" s="39"/>
      <c r="I562" s="734"/>
      <c r="J562" s="704"/>
      <c r="K562" s="139"/>
      <c r="L562" s="139"/>
      <c r="M562" s="139"/>
      <c r="N562" s="140"/>
      <c r="O562" s="140"/>
      <c r="P562" s="140"/>
    </row>
    <row r="563" spans="1:16" s="141" customFormat="1" ht="15" customHeight="1" x14ac:dyDescent="0.25">
      <c r="A563" s="84"/>
      <c r="B563" s="149"/>
      <c r="C563" s="160"/>
      <c r="D563" s="631"/>
      <c r="E563" s="521"/>
      <c r="F563" s="521"/>
      <c r="G563" s="38"/>
      <c r="H563" s="39"/>
      <c r="I563" s="734"/>
      <c r="J563" s="89"/>
      <c r="K563" s="139"/>
      <c r="L563" s="139"/>
      <c r="M563" s="139"/>
      <c r="N563" s="140"/>
      <c r="O563" s="140"/>
      <c r="P563" s="140"/>
    </row>
    <row r="564" spans="1:16" s="141" customFormat="1" ht="96.75" customHeight="1" x14ac:dyDescent="0.25">
      <c r="A564" s="84"/>
      <c r="B564" s="149"/>
      <c r="C564" s="160"/>
      <c r="D564" s="612" t="s">
        <v>191</v>
      </c>
      <c r="E564" s="519">
        <v>200000</v>
      </c>
      <c r="F564" s="519">
        <f>200000+97000</f>
        <v>297000</v>
      </c>
      <c r="G564" s="38">
        <f>200000</f>
        <v>200000</v>
      </c>
      <c r="H564" s="39">
        <f>150000</f>
        <v>150000</v>
      </c>
      <c r="I564" s="734">
        <f>H564/G564*100</f>
        <v>75</v>
      </c>
      <c r="J564" s="89"/>
      <c r="K564" s="139"/>
      <c r="L564" s="139"/>
      <c r="M564" s="139"/>
      <c r="N564" s="140"/>
      <c r="O564" s="140"/>
      <c r="P564" s="140"/>
    </row>
    <row r="565" spans="1:16" s="141" customFormat="1" ht="62.25" customHeight="1" x14ac:dyDescent="0.25">
      <c r="A565" s="84"/>
      <c r="B565" s="149"/>
      <c r="C565" s="160"/>
      <c r="D565" s="592" t="s">
        <v>256</v>
      </c>
      <c r="E565" s="519"/>
      <c r="F565" s="519">
        <f>177906</f>
        <v>177906</v>
      </c>
      <c r="G565" s="38">
        <f>106000</f>
        <v>106000</v>
      </c>
      <c r="H565" s="39">
        <f>106000</f>
        <v>106000</v>
      </c>
      <c r="I565" s="734">
        <f>H565/G565*100</f>
        <v>100</v>
      </c>
      <c r="J565" s="89"/>
      <c r="K565" s="139"/>
      <c r="L565" s="139"/>
      <c r="M565" s="139"/>
      <c r="N565" s="140"/>
      <c r="O565" s="140"/>
      <c r="P565" s="140"/>
    </row>
    <row r="566" spans="1:16" s="141" customFormat="1" ht="61.5" customHeight="1" x14ac:dyDescent="0.25">
      <c r="A566" s="84"/>
      <c r="B566" s="149"/>
      <c r="C566" s="160"/>
      <c r="D566" s="632" t="s">
        <v>220</v>
      </c>
      <c r="E566" s="519"/>
      <c r="F566" s="519">
        <f>100000</f>
        <v>100000</v>
      </c>
      <c r="G566" s="38">
        <f>41337</f>
        <v>41337</v>
      </c>
      <c r="H566" s="39">
        <f>41336.4</f>
        <v>41336.400000000001</v>
      </c>
      <c r="I566" s="734">
        <f>H566/G566*100</f>
        <v>99.998548515857465</v>
      </c>
      <c r="J566" s="89"/>
      <c r="K566" s="139"/>
      <c r="L566" s="139"/>
      <c r="M566" s="139"/>
      <c r="N566" s="140"/>
      <c r="O566" s="140"/>
      <c r="P566" s="140"/>
    </row>
    <row r="567" spans="1:16" s="141" customFormat="1" ht="59.25" customHeight="1" x14ac:dyDescent="0.25">
      <c r="A567" s="84"/>
      <c r="B567" s="149"/>
      <c r="C567" s="160"/>
      <c r="D567" s="592" t="s">
        <v>221</v>
      </c>
      <c r="E567" s="519"/>
      <c r="F567" s="519">
        <f>230000</f>
        <v>230000</v>
      </c>
      <c r="G567" s="38">
        <f>22302+166609</f>
        <v>188911</v>
      </c>
      <c r="H567" s="39">
        <f>188905</f>
        <v>188905</v>
      </c>
      <c r="I567" s="734">
        <f>H567/G567*100</f>
        <v>99.996823901202163</v>
      </c>
      <c r="J567" s="89"/>
      <c r="K567" s="139"/>
      <c r="L567" s="139"/>
      <c r="M567" s="139"/>
      <c r="N567" s="140"/>
      <c r="O567" s="140"/>
      <c r="P567" s="140"/>
    </row>
    <row r="568" spans="1:16" s="141" customFormat="1" ht="99" customHeight="1" x14ac:dyDescent="0.25">
      <c r="A568" s="84"/>
      <c r="B568" s="149"/>
      <c r="C568" s="160"/>
      <c r="D568" s="612" t="s">
        <v>192</v>
      </c>
      <c r="E568" s="519">
        <v>6000000</v>
      </c>
      <c r="F568" s="519">
        <f>6000000-1050000</f>
        <v>4950000</v>
      </c>
      <c r="G568" s="38">
        <f>1000000-1000000+2000000-9400-63639+1000000-626075-677710+1635475-1538559-82485+493482</f>
        <v>2131089</v>
      </c>
      <c r="H568" s="39"/>
      <c r="I568" s="734">
        <f>H568/G568*100</f>
        <v>0</v>
      </c>
      <c r="J568" s="89"/>
      <c r="K568" s="139"/>
      <c r="L568" s="139"/>
      <c r="M568" s="139"/>
      <c r="N568" s="140"/>
      <c r="O568" s="140"/>
      <c r="P568" s="140"/>
    </row>
    <row r="569" spans="1:16" s="141" customFormat="1" ht="74.25" customHeight="1" x14ac:dyDescent="0.25">
      <c r="A569" s="84"/>
      <c r="B569" s="149"/>
      <c r="C569" s="160"/>
      <c r="D569" s="592" t="s">
        <v>222</v>
      </c>
      <c r="E569" s="519"/>
      <c r="F569" s="519">
        <f>1474663-700000</f>
        <v>774663</v>
      </c>
      <c r="G569" s="38">
        <f>677710</f>
        <v>677710</v>
      </c>
      <c r="H569" s="39">
        <f>677709.26</f>
        <v>677709.26</v>
      </c>
      <c r="I569" s="734">
        <f>H569/G569*100</f>
        <v>99.999890808753008</v>
      </c>
      <c r="J569" s="89"/>
      <c r="K569" s="139"/>
      <c r="L569" s="139"/>
      <c r="M569" s="139"/>
      <c r="N569" s="140"/>
      <c r="O569" s="140"/>
      <c r="P569" s="140"/>
    </row>
    <row r="570" spans="1:16" s="141" customFormat="1" ht="77.25" customHeight="1" x14ac:dyDescent="0.25">
      <c r="A570" s="84"/>
      <c r="B570" s="149"/>
      <c r="C570" s="160"/>
      <c r="D570" s="612" t="s">
        <v>193</v>
      </c>
      <c r="E570" s="519">
        <v>200000</v>
      </c>
      <c r="F570" s="519">
        <v>200000</v>
      </c>
      <c r="G570" s="38">
        <f>200000-200000+200000</f>
        <v>200000</v>
      </c>
      <c r="H570" s="39"/>
      <c r="I570" s="734">
        <f>H570/G570*100</f>
        <v>0</v>
      </c>
      <c r="J570" s="89"/>
      <c r="K570" s="139"/>
      <c r="L570" s="139"/>
      <c r="M570" s="139"/>
      <c r="N570" s="140"/>
      <c r="O570" s="140"/>
      <c r="P570" s="140"/>
    </row>
    <row r="571" spans="1:16" s="141" customFormat="1" ht="76.5" customHeight="1" x14ac:dyDescent="0.25">
      <c r="A571" s="84"/>
      <c r="B571" s="149"/>
      <c r="C571" s="160"/>
      <c r="D571" s="612" t="s">
        <v>194</v>
      </c>
      <c r="E571" s="519">
        <v>200000</v>
      </c>
      <c r="F571" s="519">
        <v>200000</v>
      </c>
      <c r="G571" s="38">
        <f>200000-200000+200000</f>
        <v>200000</v>
      </c>
      <c r="H571" s="39"/>
      <c r="I571" s="734">
        <f>H571/G571*100</f>
        <v>0</v>
      </c>
      <c r="J571" s="89"/>
      <c r="K571" s="139"/>
      <c r="L571" s="139"/>
      <c r="M571" s="139"/>
      <c r="N571" s="140"/>
      <c r="O571" s="140"/>
      <c r="P571" s="140"/>
    </row>
    <row r="572" spans="1:16" s="141" customFormat="1" ht="53.25" customHeight="1" x14ac:dyDescent="0.25">
      <c r="A572" s="84"/>
      <c r="B572" s="149"/>
      <c r="C572" s="160"/>
      <c r="D572" s="592" t="s">
        <v>223</v>
      </c>
      <c r="E572" s="329"/>
      <c r="F572" s="39">
        <f>1650000</f>
        <v>1650000</v>
      </c>
      <c r="G572" s="38">
        <f>500000+500000+650000</f>
        <v>1650000</v>
      </c>
      <c r="H572" s="39">
        <f>12173+677528.64</f>
        <v>689701.64</v>
      </c>
      <c r="I572" s="734">
        <f>H572/G572*100</f>
        <v>41.800099393939391</v>
      </c>
      <c r="J572" s="89"/>
      <c r="K572" s="139"/>
      <c r="L572" s="139"/>
      <c r="M572" s="139"/>
      <c r="N572" s="140"/>
      <c r="O572" s="140"/>
      <c r="P572" s="140"/>
    </row>
    <row r="573" spans="1:16" s="141" customFormat="1" ht="94.5" customHeight="1" x14ac:dyDescent="0.25">
      <c r="A573" s="84"/>
      <c r="B573" s="149"/>
      <c r="C573" s="160"/>
      <c r="D573" s="718" t="s">
        <v>280</v>
      </c>
      <c r="E573" s="703"/>
      <c r="F573" s="703">
        <f>2000000</f>
        <v>2000000</v>
      </c>
      <c r="G573" s="709">
        <f>2000000-367609</f>
        <v>1632391</v>
      </c>
      <c r="H573" s="710"/>
      <c r="I573" s="734">
        <f>H573/G573*100</f>
        <v>0</v>
      </c>
      <c r="J573" s="89"/>
      <c r="K573" s="139"/>
      <c r="L573" s="139"/>
      <c r="M573" s="139"/>
      <c r="N573" s="140"/>
      <c r="O573" s="140"/>
      <c r="P573" s="140"/>
    </row>
    <row r="574" spans="1:16" s="141" customFormat="1" ht="81.75" customHeight="1" x14ac:dyDescent="0.25">
      <c r="A574" s="84"/>
      <c r="B574" s="149"/>
      <c r="C574" s="160"/>
      <c r="D574" s="592" t="s">
        <v>257</v>
      </c>
      <c r="E574" s="329"/>
      <c r="F574" s="39">
        <f>100000</f>
        <v>100000</v>
      </c>
      <c r="G574" s="38"/>
      <c r="H574" s="39"/>
      <c r="I574" s="734"/>
      <c r="J574" s="89"/>
      <c r="K574" s="139"/>
      <c r="L574" s="139"/>
      <c r="M574" s="139"/>
      <c r="N574" s="140"/>
      <c r="O574" s="140"/>
      <c r="P574" s="140"/>
    </row>
    <row r="575" spans="1:16" s="141" customFormat="1" ht="57" customHeight="1" x14ac:dyDescent="0.25">
      <c r="A575" s="84"/>
      <c r="B575" s="149"/>
      <c r="C575" s="160"/>
      <c r="D575" s="633" t="s">
        <v>224</v>
      </c>
      <c r="E575" s="329"/>
      <c r="F575" s="487">
        <f>1000000</f>
        <v>1000000</v>
      </c>
      <c r="G575" s="38">
        <f>1000000-1000000+1000000</f>
        <v>1000000</v>
      </c>
      <c r="H575" s="39">
        <f>7494.74+702498.58</f>
        <v>709993.32</v>
      </c>
      <c r="I575" s="734">
        <f>H575/G575*100</f>
        <v>70.999331999999995</v>
      </c>
      <c r="J575" s="89"/>
      <c r="K575" s="139"/>
      <c r="L575" s="139"/>
      <c r="M575" s="139"/>
      <c r="N575" s="140"/>
      <c r="O575" s="140"/>
      <c r="P575" s="140"/>
    </row>
    <row r="576" spans="1:16" s="141" customFormat="1" hidden="1" x14ac:dyDescent="0.25">
      <c r="A576" s="84"/>
      <c r="B576" s="149"/>
      <c r="C576" s="160"/>
      <c r="D576" s="562"/>
      <c r="E576" s="329"/>
      <c r="F576" s="487"/>
      <c r="G576" s="38"/>
      <c r="H576" s="39" t="e">
        <f>G576-#REF!</f>
        <v>#REF!</v>
      </c>
      <c r="I576" s="734" t="e">
        <f>H576/G576*100</f>
        <v>#REF!</v>
      </c>
      <c r="J576" s="89"/>
      <c r="K576" s="139"/>
      <c r="L576" s="139"/>
      <c r="M576" s="139"/>
      <c r="N576" s="140"/>
      <c r="O576" s="140"/>
      <c r="P576" s="140"/>
    </row>
    <row r="577" spans="1:16" s="141" customFormat="1" hidden="1" x14ac:dyDescent="0.25">
      <c r="A577" s="84"/>
      <c r="B577" s="149"/>
      <c r="C577" s="160"/>
      <c r="D577" s="620"/>
      <c r="E577" s="329"/>
      <c r="F577" s="501"/>
      <c r="G577" s="38"/>
      <c r="H577" s="39" t="e">
        <f>G577-#REF!</f>
        <v>#REF!</v>
      </c>
      <c r="I577" s="734" t="e">
        <f>H577/G577*100</f>
        <v>#REF!</v>
      </c>
      <c r="J577" s="89"/>
      <c r="K577" s="139"/>
      <c r="L577" s="139"/>
      <c r="M577" s="139"/>
      <c r="N577" s="140"/>
      <c r="O577" s="140"/>
      <c r="P577" s="140"/>
    </row>
    <row r="578" spans="1:16" s="141" customFormat="1" ht="50.25" hidden="1" customHeight="1" x14ac:dyDescent="0.25">
      <c r="A578" s="84"/>
      <c r="B578" s="149"/>
      <c r="C578" s="160"/>
      <c r="D578" s="583"/>
      <c r="E578" s="329"/>
      <c r="F578" s="501"/>
      <c r="G578" s="38"/>
      <c r="H578" s="39" t="e">
        <f>G578-#REF!</f>
        <v>#REF!</v>
      </c>
      <c r="I578" s="734" t="e">
        <f>H578/G578*100</f>
        <v>#REF!</v>
      </c>
      <c r="J578" s="89"/>
      <c r="K578" s="139"/>
      <c r="L578" s="139"/>
      <c r="M578" s="139"/>
      <c r="N578" s="140"/>
      <c r="O578" s="140"/>
      <c r="P578" s="140"/>
    </row>
    <row r="579" spans="1:16" s="141" customFormat="1" ht="50.25" hidden="1" customHeight="1" x14ac:dyDescent="0.25">
      <c r="A579" s="84"/>
      <c r="B579" s="149"/>
      <c r="C579" s="160"/>
      <c r="D579" s="583"/>
      <c r="E579" s="329"/>
      <c r="F579" s="501"/>
      <c r="G579" s="38"/>
      <c r="H579" s="39" t="e">
        <f>G579-#REF!</f>
        <v>#REF!</v>
      </c>
      <c r="I579" s="734" t="e">
        <f>H579/G579*100</f>
        <v>#REF!</v>
      </c>
      <c r="J579" s="89"/>
      <c r="K579" s="139"/>
      <c r="L579" s="139"/>
      <c r="M579" s="139"/>
      <c r="N579" s="140"/>
      <c r="O579" s="140"/>
      <c r="P579" s="140"/>
    </row>
    <row r="580" spans="1:16" s="141" customFormat="1" hidden="1" x14ac:dyDescent="0.25">
      <c r="A580" s="84"/>
      <c r="B580" s="149"/>
      <c r="C580" s="160"/>
      <c r="D580" s="620"/>
      <c r="E580" s="329"/>
      <c r="F580" s="501"/>
      <c r="G580" s="38"/>
      <c r="H580" s="39" t="e">
        <f>G580-#REF!</f>
        <v>#REF!</v>
      </c>
      <c r="I580" s="734" t="e">
        <f>H580/G580*100</f>
        <v>#REF!</v>
      </c>
      <c r="J580" s="89"/>
      <c r="K580" s="139"/>
      <c r="L580" s="139"/>
      <c r="M580" s="139"/>
      <c r="N580" s="140"/>
      <c r="O580" s="140"/>
      <c r="P580" s="140"/>
    </row>
    <row r="581" spans="1:16" s="141" customFormat="1" ht="9" hidden="1" customHeight="1" x14ac:dyDescent="0.25">
      <c r="A581" s="84"/>
      <c r="B581" s="149"/>
      <c r="C581" s="160"/>
      <c r="D581" s="620"/>
      <c r="E581" s="329"/>
      <c r="F581" s="54"/>
      <c r="G581" s="38"/>
      <c r="H581" s="39" t="e">
        <f>G581-#REF!</f>
        <v>#REF!</v>
      </c>
      <c r="I581" s="734" t="e">
        <f>H581/G581*100</f>
        <v>#REF!</v>
      </c>
      <c r="J581" s="89"/>
      <c r="K581" s="139"/>
      <c r="L581" s="139"/>
      <c r="M581" s="139"/>
      <c r="N581" s="140"/>
      <c r="O581" s="140"/>
      <c r="P581" s="140"/>
    </row>
    <row r="582" spans="1:16" ht="16.5" customHeight="1" x14ac:dyDescent="0.3">
      <c r="A582" s="313"/>
      <c r="B582" s="188"/>
      <c r="C582" s="212"/>
      <c r="D582" s="634"/>
      <c r="E582" s="332"/>
      <c r="F582" s="333"/>
      <c r="G582" s="83"/>
      <c r="H582" s="83"/>
      <c r="I582" s="734"/>
      <c r="J582" s="89"/>
      <c r="K582" s="25"/>
      <c r="L582" s="25"/>
      <c r="M582" s="25"/>
    </row>
    <row r="583" spans="1:16" ht="22.5" customHeight="1" x14ac:dyDescent="0.3">
      <c r="A583" s="254"/>
      <c r="B583" s="211"/>
      <c r="C583" s="219"/>
      <c r="D583" s="557" t="s">
        <v>16</v>
      </c>
      <c r="E583" s="48">
        <f>SUM(E584:E593)</f>
        <v>31600000</v>
      </c>
      <c r="F583" s="48">
        <f>SUM(F584:F595)</f>
        <v>18606518</v>
      </c>
      <c r="G583" s="48">
        <f>SUM(G584:G595)</f>
        <v>6606518</v>
      </c>
      <c r="H583" s="48">
        <f>SUM(H584:H593)</f>
        <v>360741.52</v>
      </c>
      <c r="I583" s="744">
        <f>H583/G583*100</f>
        <v>5.4603880591863971</v>
      </c>
      <c r="J583" s="49"/>
      <c r="K583" s="25"/>
      <c r="L583" s="25"/>
      <c r="M583" s="25"/>
    </row>
    <row r="584" spans="1:16" ht="35.25" customHeight="1" x14ac:dyDescent="0.25">
      <c r="A584" s="179"/>
      <c r="B584" s="212"/>
      <c r="C584" s="238"/>
      <c r="D584" s="612" t="s">
        <v>195</v>
      </c>
      <c r="E584" s="519">
        <v>5000000</v>
      </c>
      <c r="F584" s="519">
        <f>5000000-5000000</f>
        <v>0</v>
      </c>
      <c r="G584" s="54">
        <f>100000-100000</f>
        <v>0</v>
      </c>
      <c r="H584" s="119"/>
      <c r="I584" s="734"/>
      <c r="J584" s="335"/>
      <c r="K584" s="25"/>
      <c r="L584" s="25"/>
      <c r="M584" s="25"/>
    </row>
    <row r="585" spans="1:16" ht="54" customHeight="1" x14ac:dyDescent="0.25">
      <c r="A585" s="179"/>
      <c r="B585" s="212"/>
      <c r="C585" s="238"/>
      <c r="D585" s="612" t="s">
        <v>196</v>
      </c>
      <c r="E585" s="519">
        <v>100000</v>
      </c>
      <c r="F585" s="519">
        <v>100000</v>
      </c>
      <c r="G585" s="54">
        <f>100000</f>
        <v>100000</v>
      </c>
      <c r="H585" s="119"/>
      <c r="I585" s="734">
        <f>H585/G585*100</f>
        <v>0</v>
      </c>
      <c r="J585" s="335"/>
      <c r="K585" s="25"/>
      <c r="L585" s="25"/>
      <c r="M585" s="25"/>
    </row>
    <row r="586" spans="1:16" ht="39" customHeight="1" x14ac:dyDescent="0.25">
      <c r="A586" s="179"/>
      <c r="B586" s="212"/>
      <c r="C586" s="238"/>
      <c r="D586" s="612" t="s">
        <v>197</v>
      </c>
      <c r="E586" s="519">
        <v>15000000</v>
      </c>
      <c r="F586" s="519">
        <v>15000000</v>
      </c>
      <c r="G586" s="54">
        <f>2000000+2000000-2000000+2000000</f>
        <v>4000000</v>
      </c>
      <c r="H586" s="119"/>
      <c r="I586" s="734">
        <f>H586/G586*100</f>
        <v>0</v>
      </c>
      <c r="J586" s="335"/>
      <c r="K586" s="25"/>
      <c r="L586" s="25"/>
      <c r="M586" s="25"/>
    </row>
    <row r="587" spans="1:16" ht="39" customHeight="1" x14ac:dyDescent="0.25">
      <c r="A587" s="179"/>
      <c r="B587" s="212"/>
      <c r="C587" s="238"/>
      <c r="D587" s="592" t="s">
        <v>258</v>
      </c>
      <c r="E587" s="519"/>
      <c r="F587" s="519">
        <f>500000</f>
        <v>500000</v>
      </c>
      <c r="G587" s="54"/>
      <c r="H587" s="119"/>
      <c r="I587" s="734"/>
      <c r="J587" s="335"/>
      <c r="K587" s="25"/>
      <c r="L587" s="25"/>
      <c r="M587" s="25"/>
    </row>
    <row r="588" spans="1:16" ht="45" customHeight="1" x14ac:dyDescent="0.25">
      <c r="A588" s="179"/>
      <c r="B588" s="212"/>
      <c r="C588" s="238"/>
      <c r="D588" s="592" t="s">
        <v>259</v>
      </c>
      <c r="E588" s="519"/>
      <c r="F588" s="519">
        <f>500000</f>
        <v>500000</v>
      </c>
      <c r="G588" s="54"/>
      <c r="H588" s="119"/>
      <c r="I588" s="734"/>
      <c r="J588" s="335"/>
      <c r="K588" s="25"/>
      <c r="L588" s="25"/>
      <c r="M588" s="25"/>
    </row>
    <row r="589" spans="1:16" ht="53.25" customHeight="1" x14ac:dyDescent="0.25">
      <c r="A589" s="179"/>
      <c r="B589" s="212"/>
      <c r="C589" s="238"/>
      <c r="D589" s="612" t="s">
        <v>198</v>
      </c>
      <c r="E589" s="519">
        <v>500000</v>
      </c>
      <c r="F589" s="519">
        <v>500000</v>
      </c>
      <c r="G589" s="54">
        <f>500000</f>
        <v>500000</v>
      </c>
      <c r="H589" s="119"/>
      <c r="I589" s="734">
        <f>H589/G589*100</f>
        <v>0</v>
      </c>
      <c r="J589" s="335"/>
      <c r="K589" s="25"/>
      <c r="L589" s="25"/>
      <c r="M589" s="25"/>
    </row>
    <row r="590" spans="1:16" ht="56.25" customHeight="1" x14ac:dyDescent="0.25">
      <c r="A590" s="179"/>
      <c r="B590" s="212"/>
      <c r="C590" s="238"/>
      <c r="D590" s="612" t="s">
        <v>199</v>
      </c>
      <c r="E590" s="519">
        <v>500000</v>
      </c>
      <c r="F590" s="519">
        <f>500000-500000</f>
        <v>0</v>
      </c>
      <c r="G590" s="54"/>
      <c r="H590" s="119"/>
      <c r="I590" s="734"/>
      <c r="J590" s="335"/>
      <c r="K590" s="25"/>
      <c r="L590" s="25"/>
      <c r="M590" s="25"/>
    </row>
    <row r="591" spans="1:16" ht="97.5" customHeight="1" x14ac:dyDescent="0.25">
      <c r="A591" s="179"/>
      <c r="B591" s="212"/>
      <c r="C591" s="238"/>
      <c r="D591" s="670" t="s">
        <v>240</v>
      </c>
      <c r="E591" s="519"/>
      <c r="F591" s="519">
        <f>500000</f>
        <v>500000</v>
      </c>
      <c r="G591" s="54">
        <f>500000</f>
        <v>500000</v>
      </c>
      <c r="H591" s="119">
        <f>304044.15</f>
        <v>304044.15000000002</v>
      </c>
      <c r="I591" s="734">
        <f>H591/G591*100</f>
        <v>60.80883</v>
      </c>
      <c r="J591" s="335"/>
      <c r="K591" s="25"/>
      <c r="L591" s="25"/>
      <c r="M591" s="25"/>
    </row>
    <row r="592" spans="1:16" ht="36" customHeight="1" x14ac:dyDescent="0.25">
      <c r="A592" s="179"/>
      <c r="B592" s="212"/>
      <c r="C592" s="238"/>
      <c r="D592" s="612" t="s">
        <v>200</v>
      </c>
      <c r="E592" s="519">
        <v>500000</v>
      </c>
      <c r="F592" s="519">
        <v>500000</v>
      </c>
      <c r="G592" s="54">
        <f>500000</f>
        <v>500000</v>
      </c>
      <c r="H592" s="119"/>
      <c r="I592" s="734">
        <f>H592/G592*100</f>
        <v>0</v>
      </c>
      <c r="J592" s="335"/>
      <c r="K592" s="25"/>
      <c r="L592" s="25"/>
      <c r="M592" s="25"/>
    </row>
    <row r="593" spans="1:16" ht="95.25" customHeight="1" x14ac:dyDescent="0.25">
      <c r="A593" s="179"/>
      <c r="B593" s="212"/>
      <c r="C593" s="238"/>
      <c r="D593" s="612" t="s">
        <v>201</v>
      </c>
      <c r="E593" s="519">
        <v>10000000</v>
      </c>
      <c r="F593" s="519">
        <f>10000000-1193482-5000000-2800000</f>
        <v>1006518</v>
      </c>
      <c r="G593" s="54">
        <f>850000-850000+850000+150000+6518</f>
        <v>1006518</v>
      </c>
      <c r="H593" s="119">
        <f>56697.37</f>
        <v>56697.37</v>
      </c>
      <c r="I593" s="734">
        <f>H593/G593*100</f>
        <v>5.6330209693219597</v>
      </c>
      <c r="J593" s="335"/>
      <c r="K593" s="25"/>
      <c r="L593" s="25"/>
      <c r="M593" s="25"/>
    </row>
    <row r="594" spans="1:16" ht="12.75" customHeight="1" x14ac:dyDescent="0.25">
      <c r="A594" s="179"/>
      <c r="B594" s="212"/>
      <c r="C594" s="238"/>
      <c r="D594" s="540"/>
      <c r="E594" s="310"/>
      <c r="F594" s="54"/>
      <c r="G594" s="54"/>
      <c r="H594" s="119"/>
      <c r="I594" s="734"/>
      <c r="J594" s="335"/>
      <c r="K594" s="25"/>
      <c r="L594" s="25"/>
      <c r="M594" s="25"/>
    </row>
    <row r="595" spans="1:16" ht="27.75" hidden="1" customHeight="1" x14ac:dyDescent="0.25">
      <c r="A595" s="313"/>
      <c r="B595" s="188"/>
      <c r="C595" s="212"/>
      <c r="D595" s="540"/>
      <c r="E595" s="332"/>
      <c r="F595" s="336"/>
      <c r="G595" s="39"/>
      <c r="H595" s="39" t="e">
        <f>G595-#REF!</f>
        <v>#REF!</v>
      </c>
      <c r="I595" s="734" t="e">
        <f>H595/G595*100</f>
        <v>#REF!</v>
      </c>
      <c r="J595" s="89"/>
      <c r="K595" s="25"/>
      <c r="L595" s="25"/>
      <c r="M595" s="25"/>
    </row>
    <row r="596" spans="1:16" ht="23.25" hidden="1" customHeight="1" x14ac:dyDescent="0.3">
      <c r="A596" s="313"/>
      <c r="B596" s="188"/>
      <c r="C596" s="212"/>
      <c r="D596" s="635"/>
      <c r="E596" s="332"/>
      <c r="F596" s="333"/>
      <c r="G596" s="83"/>
      <c r="H596" s="83"/>
      <c r="I596" s="734" t="e">
        <f>H596/G596*100</f>
        <v>#DIV/0!</v>
      </c>
      <c r="J596" s="331"/>
      <c r="K596" s="25"/>
      <c r="L596" s="25"/>
      <c r="M596" s="25"/>
    </row>
    <row r="597" spans="1:16" ht="23.25" hidden="1" customHeight="1" x14ac:dyDescent="0.25">
      <c r="A597" s="175">
        <v>3117461</v>
      </c>
      <c r="B597" s="206">
        <v>7461</v>
      </c>
      <c r="C597" s="216"/>
      <c r="D597" s="588"/>
      <c r="E597" s="318">
        <f t="shared" ref="E597:H597" si="124">E598</f>
        <v>0</v>
      </c>
      <c r="F597" s="318">
        <f t="shared" si="124"/>
        <v>0</v>
      </c>
      <c r="G597" s="318">
        <f t="shared" si="124"/>
        <v>0</v>
      </c>
      <c r="H597" s="318" t="e">
        <f t="shared" si="124"/>
        <v>#REF!</v>
      </c>
      <c r="I597" s="734" t="e">
        <f>H597/G597*100</f>
        <v>#REF!</v>
      </c>
      <c r="J597" s="337"/>
      <c r="K597" s="25"/>
      <c r="L597" s="25"/>
      <c r="M597" s="25"/>
    </row>
    <row r="598" spans="1:16" ht="23.25" hidden="1" customHeight="1" x14ac:dyDescent="0.3">
      <c r="A598" s="254"/>
      <c r="B598" s="320"/>
      <c r="C598" s="219"/>
      <c r="D598" s="557" t="s">
        <v>15</v>
      </c>
      <c r="E598" s="334">
        <f t="shared" ref="E598:H598" si="125">SUM(E599:E599)</f>
        <v>0</v>
      </c>
      <c r="F598" s="334">
        <f t="shared" si="125"/>
        <v>0</v>
      </c>
      <c r="G598" s="334">
        <f t="shared" si="125"/>
        <v>0</v>
      </c>
      <c r="H598" s="334" t="e">
        <f t="shared" si="125"/>
        <v>#REF!</v>
      </c>
      <c r="I598" s="734" t="e">
        <f>H598/G598*100</f>
        <v>#REF!</v>
      </c>
      <c r="J598" s="338"/>
      <c r="K598" s="25"/>
      <c r="L598" s="25"/>
      <c r="M598" s="25"/>
    </row>
    <row r="599" spans="1:16" ht="39.75" hidden="1" customHeight="1" x14ac:dyDescent="0.25">
      <c r="A599" s="313"/>
      <c r="B599" s="188"/>
      <c r="C599" s="212"/>
      <c r="D599" s="446"/>
      <c r="E599" s="310"/>
      <c r="F599" s="339"/>
      <c r="G599" s="339"/>
      <c r="H599" s="83" t="e">
        <f>G599-#REF!</f>
        <v>#REF!</v>
      </c>
      <c r="I599" s="734" t="e">
        <f>H599/G599*100</f>
        <v>#REF!</v>
      </c>
      <c r="J599" s="331"/>
      <c r="K599" s="25"/>
      <c r="L599" s="25"/>
      <c r="M599" s="25"/>
    </row>
    <row r="600" spans="1:16" ht="24.75" hidden="1" customHeight="1" x14ac:dyDescent="0.25">
      <c r="A600" s="313"/>
      <c r="B600" s="188"/>
      <c r="C600" s="212"/>
      <c r="D600" s="446"/>
      <c r="E600" s="310"/>
      <c r="F600" s="339"/>
      <c r="G600" s="339"/>
      <c r="H600" s="83"/>
      <c r="I600" s="734" t="e">
        <f>H600/G600*100</f>
        <v>#DIV/0!</v>
      </c>
      <c r="J600" s="331"/>
      <c r="K600" s="25"/>
      <c r="L600" s="25"/>
      <c r="M600" s="25"/>
    </row>
    <row r="601" spans="1:16" s="249" customFormat="1" ht="21.75" customHeight="1" x14ac:dyDescent="0.25">
      <c r="A601" s="206">
        <v>3117670</v>
      </c>
      <c r="B601" s="205">
        <v>7670</v>
      </c>
      <c r="C601" s="206"/>
      <c r="D601" s="98"/>
      <c r="E601" s="340">
        <f t="shared" ref="E601:H601" si="126">E602</f>
        <v>1000000</v>
      </c>
      <c r="F601" s="341">
        <f t="shared" si="126"/>
        <v>5100000</v>
      </c>
      <c r="G601" s="341">
        <f t="shared" si="126"/>
        <v>1000000</v>
      </c>
      <c r="H601" s="341">
        <f t="shared" si="126"/>
        <v>250408.13</v>
      </c>
      <c r="I601" s="745">
        <f>H601/G601*100</f>
        <v>25.040813</v>
      </c>
      <c r="J601" s="342"/>
      <c r="K601" s="246"/>
      <c r="L601" s="246"/>
      <c r="M601" s="247"/>
      <c r="N601" s="248"/>
      <c r="O601" s="248"/>
      <c r="P601" s="248"/>
    </row>
    <row r="602" spans="1:16" s="53" customFormat="1" ht="20.25" customHeight="1" x14ac:dyDescent="0.3">
      <c r="A602" s="343"/>
      <c r="B602" s="167"/>
      <c r="C602" s="211"/>
      <c r="D602" s="557" t="s">
        <v>22</v>
      </c>
      <c r="E602" s="279">
        <f t="shared" ref="E602:H602" si="127">SUM(E603:E607)</f>
        <v>1000000</v>
      </c>
      <c r="F602" s="279">
        <f t="shared" si="127"/>
        <v>5100000</v>
      </c>
      <c r="G602" s="279">
        <f t="shared" si="127"/>
        <v>1000000</v>
      </c>
      <c r="H602" s="279">
        <f t="shared" si="127"/>
        <v>250408.13</v>
      </c>
      <c r="I602" s="744">
        <f>H602/G602*100</f>
        <v>25.040813</v>
      </c>
      <c r="J602" s="344"/>
      <c r="K602" s="51"/>
      <c r="L602" s="51"/>
      <c r="M602" s="51"/>
      <c r="N602" s="52"/>
      <c r="O602" s="52"/>
      <c r="P602" s="52"/>
    </row>
    <row r="603" spans="1:16" ht="37.5" x14ac:dyDescent="0.25">
      <c r="A603" s="313"/>
      <c r="B603" s="188"/>
      <c r="C603" s="212"/>
      <c r="D603" s="636" t="s">
        <v>202</v>
      </c>
      <c r="E603" s="519">
        <v>1000000</v>
      </c>
      <c r="F603" s="519">
        <f>1000000+100000</f>
        <v>1100000</v>
      </c>
      <c r="G603" s="39">
        <f>1000000</f>
        <v>1000000</v>
      </c>
      <c r="H603" s="39">
        <f>248143.98+2264.15</f>
        <v>250408.13</v>
      </c>
      <c r="I603" s="734">
        <f>H603/G603*100</f>
        <v>25.040813</v>
      </c>
      <c r="J603" s="89"/>
      <c r="K603" s="25"/>
      <c r="L603" s="25"/>
      <c r="M603" s="25"/>
    </row>
    <row r="604" spans="1:16" ht="36" customHeight="1" x14ac:dyDescent="0.25">
      <c r="A604" s="313"/>
      <c r="B604" s="188"/>
      <c r="C604" s="212"/>
      <c r="D604" s="620" t="s">
        <v>260</v>
      </c>
      <c r="E604" s="119"/>
      <c r="F604" s="119">
        <f>2000000</f>
        <v>2000000</v>
      </c>
      <c r="G604" s="39">
        <f>2000000-2000000</f>
        <v>0</v>
      </c>
      <c r="H604" s="39"/>
      <c r="I604" s="734"/>
      <c r="J604" s="89"/>
      <c r="K604" s="25"/>
      <c r="L604" s="25"/>
      <c r="M604" s="25"/>
    </row>
    <row r="605" spans="1:16" ht="38.25" customHeight="1" x14ac:dyDescent="0.25">
      <c r="A605" s="313"/>
      <c r="B605" s="188"/>
      <c r="C605" s="212"/>
      <c r="D605" s="620" t="s">
        <v>261</v>
      </c>
      <c r="E605" s="119"/>
      <c r="F605" s="119">
        <f>2000000</f>
        <v>2000000</v>
      </c>
      <c r="G605" s="39">
        <f>1000000-1000000</f>
        <v>0</v>
      </c>
      <c r="H605" s="39"/>
      <c r="I605" s="734"/>
      <c r="J605" s="89"/>
      <c r="K605" s="25"/>
      <c r="L605" s="25"/>
      <c r="M605" s="25"/>
    </row>
    <row r="606" spans="1:16" ht="36.75" hidden="1" customHeight="1" x14ac:dyDescent="0.25">
      <c r="A606" s="313"/>
      <c r="B606" s="188"/>
      <c r="C606" s="212"/>
      <c r="D606" s="577"/>
      <c r="E606" s="119"/>
      <c r="F606" s="119"/>
      <c r="G606" s="39"/>
      <c r="H606" s="487"/>
      <c r="I606" s="734" t="e">
        <f>H606/G606*100</f>
        <v>#DIV/0!</v>
      </c>
      <c r="J606" s="89"/>
      <c r="K606" s="25"/>
      <c r="L606" s="25"/>
      <c r="M606" s="25"/>
    </row>
    <row r="607" spans="1:16" ht="15" customHeight="1" x14ac:dyDescent="0.25">
      <c r="A607" s="313"/>
      <c r="B607" s="188"/>
      <c r="C607" s="212"/>
      <c r="D607" s="550"/>
      <c r="E607" s="119"/>
      <c r="F607" s="119"/>
      <c r="G607" s="39"/>
      <c r="H607" s="39"/>
      <c r="I607" s="734"/>
      <c r="J607" s="89"/>
      <c r="K607" s="25"/>
      <c r="L607" s="25"/>
      <c r="M607" s="25"/>
    </row>
    <row r="608" spans="1:16" ht="19.5" customHeight="1" x14ac:dyDescent="0.25">
      <c r="A608" s="206">
        <v>3118311</v>
      </c>
      <c r="B608" s="205">
        <v>8311</v>
      </c>
      <c r="C608" s="206"/>
      <c r="D608" s="98"/>
      <c r="E608" s="340">
        <f t="shared" ref="E608:H608" si="128">E609+E614</f>
        <v>0</v>
      </c>
      <c r="F608" s="340">
        <f t="shared" si="128"/>
        <v>1700000</v>
      </c>
      <c r="G608" s="340">
        <f t="shared" si="128"/>
        <v>150000</v>
      </c>
      <c r="H608" s="340">
        <f t="shared" si="128"/>
        <v>0</v>
      </c>
      <c r="I608" s="745">
        <f>H608/G608*100</f>
        <v>0</v>
      </c>
      <c r="J608" s="89"/>
      <c r="K608" s="24">
        <f>H608+150000-45600</f>
        <v>104400</v>
      </c>
      <c r="L608" s="24">
        <f>I608+200000-45600</f>
        <v>154400</v>
      </c>
      <c r="M608" s="25"/>
    </row>
    <row r="609" spans="1:16" ht="19.5" customHeight="1" x14ac:dyDescent="0.3">
      <c r="A609" s="343"/>
      <c r="B609" s="167"/>
      <c r="C609" s="211"/>
      <c r="D609" s="557" t="s">
        <v>15</v>
      </c>
      <c r="E609" s="279">
        <f>SUM(E610:E612)</f>
        <v>0</v>
      </c>
      <c r="F609" s="279">
        <f>SUM(F610:F612)</f>
        <v>1550000</v>
      </c>
      <c r="G609" s="279">
        <f t="shared" ref="G609:H609" si="129">SUM(G610:G612)</f>
        <v>150000</v>
      </c>
      <c r="H609" s="279">
        <f t="shared" si="129"/>
        <v>0</v>
      </c>
      <c r="I609" s="744">
        <f>H609/G609*100</f>
        <v>0</v>
      </c>
      <c r="J609" s="89"/>
      <c r="K609" s="25"/>
      <c r="L609" s="25"/>
      <c r="M609" s="25"/>
    </row>
    <row r="610" spans="1:16" ht="57" customHeight="1" x14ac:dyDescent="0.25">
      <c r="A610" s="313"/>
      <c r="B610" s="188"/>
      <c r="C610" s="212"/>
      <c r="D610" s="612" t="s">
        <v>229</v>
      </c>
      <c r="E610" s="119"/>
      <c r="F610" s="119">
        <f>150000</f>
        <v>150000</v>
      </c>
      <c r="G610" s="39">
        <f>150000</f>
        <v>150000</v>
      </c>
      <c r="H610" s="39"/>
      <c r="I610" s="734">
        <f>H610/G610*100</f>
        <v>0</v>
      </c>
      <c r="J610" s="89"/>
      <c r="K610" s="25"/>
      <c r="L610" s="25"/>
      <c r="M610" s="25"/>
    </row>
    <row r="611" spans="1:16" ht="78.75" customHeight="1" x14ac:dyDescent="0.25">
      <c r="A611" s="313"/>
      <c r="B611" s="188"/>
      <c r="C611" s="212"/>
      <c r="D611" s="612" t="s">
        <v>262</v>
      </c>
      <c r="E611" s="119"/>
      <c r="F611" s="119">
        <f>1400000-1400000</f>
        <v>0</v>
      </c>
      <c r="G611" s="39"/>
      <c r="H611" s="39"/>
      <c r="I611" s="734"/>
      <c r="J611" s="89"/>
      <c r="K611" s="25"/>
      <c r="L611" s="25"/>
      <c r="M611" s="25"/>
    </row>
    <row r="612" spans="1:16" ht="47.25" customHeight="1" x14ac:dyDescent="0.25">
      <c r="A612" s="706"/>
      <c r="B612" s="707"/>
      <c r="C612" s="690"/>
      <c r="D612" s="719" t="s">
        <v>283</v>
      </c>
      <c r="E612" s="708"/>
      <c r="F612" s="708">
        <f>1400000</f>
        <v>1400000</v>
      </c>
      <c r="G612" s="693"/>
      <c r="H612" s="39"/>
      <c r="I612" s="734"/>
      <c r="J612" s="704"/>
      <c r="K612" s="25"/>
      <c r="L612" s="25"/>
      <c r="M612" s="25"/>
    </row>
    <row r="613" spans="1:16" ht="14.25" customHeight="1" x14ac:dyDescent="0.25">
      <c r="A613" s="313"/>
      <c r="B613" s="188"/>
      <c r="C613" s="212"/>
      <c r="D613" s="446"/>
      <c r="E613" s="119"/>
      <c r="F613" s="119"/>
      <c r="G613" s="39"/>
      <c r="H613" s="39"/>
      <c r="I613" s="734"/>
      <c r="J613" s="89"/>
      <c r="K613" s="25"/>
      <c r="L613" s="25"/>
      <c r="M613" s="25"/>
    </row>
    <row r="614" spans="1:16" ht="18.75" customHeight="1" x14ac:dyDescent="0.3">
      <c r="A614" s="343"/>
      <c r="B614" s="167"/>
      <c r="C614" s="211"/>
      <c r="D614" s="557" t="s">
        <v>16</v>
      </c>
      <c r="E614" s="279">
        <f>SUM(E615)</f>
        <v>0</v>
      </c>
      <c r="F614" s="279">
        <f t="shared" ref="F614:H614" si="130">SUM(F615)</f>
        <v>150000</v>
      </c>
      <c r="G614" s="279">
        <f t="shared" si="130"/>
        <v>0</v>
      </c>
      <c r="H614" s="279">
        <f t="shared" si="130"/>
        <v>0</v>
      </c>
      <c r="I614" s="746"/>
      <c r="J614" s="89"/>
      <c r="K614" s="25"/>
      <c r="L614" s="25"/>
      <c r="M614" s="25"/>
    </row>
    <row r="615" spans="1:16" ht="53.25" customHeight="1" x14ac:dyDescent="0.25">
      <c r="A615" s="313"/>
      <c r="B615" s="188"/>
      <c r="C615" s="212"/>
      <c r="D615" s="619" t="s">
        <v>263</v>
      </c>
      <c r="E615" s="119"/>
      <c r="F615" s="119">
        <f>150000</f>
        <v>150000</v>
      </c>
      <c r="G615" s="39"/>
      <c r="H615" s="39"/>
      <c r="I615" s="734"/>
      <c r="J615" s="89"/>
      <c r="K615" s="25"/>
      <c r="L615" s="25"/>
      <c r="M615" s="25"/>
    </row>
    <row r="616" spans="1:16" ht="13.5" customHeight="1" x14ac:dyDescent="0.25">
      <c r="A616" s="313"/>
      <c r="B616" s="188"/>
      <c r="C616" s="212"/>
      <c r="D616" s="550"/>
      <c r="E616" s="119"/>
      <c r="F616" s="119"/>
      <c r="G616" s="39"/>
      <c r="H616" s="39"/>
      <c r="I616" s="734"/>
      <c r="J616" s="89"/>
      <c r="K616" s="25"/>
      <c r="L616" s="25"/>
      <c r="M616" s="25"/>
    </row>
    <row r="617" spans="1:16" ht="41.25" customHeight="1" x14ac:dyDescent="0.35">
      <c r="A617" s="345">
        <v>3617130</v>
      </c>
      <c r="B617" s="346"/>
      <c r="C617" s="347"/>
      <c r="D617" s="201" t="s">
        <v>105</v>
      </c>
      <c r="E617" s="202">
        <f>E621+E623</f>
        <v>98000</v>
      </c>
      <c r="F617" s="274">
        <f>F618+F621+F623</f>
        <v>98000</v>
      </c>
      <c r="G617" s="274">
        <f t="shared" ref="G617" si="131">G618+G621+G623</f>
        <v>98000</v>
      </c>
      <c r="H617" s="274">
        <f>H621</f>
        <v>48000</v>
      </c>
      <c r="I617" s="742">
        <f>H617/G617*100</f>
        <v>48.979591836734691</v>
      </c>
      <c r="J617" s="89"/>
      <c r="K617" s="25"/>
      <c r="L617" s="25"/>
      <c r="M617" s="25"/>
    </row>
    <row r="618" spans="1:16" s="500" customFormat="1" ht="26.25" hidden="1" customHeight="1" x14ac:dyDescent="0.3">
      <c r="A618" s="206">
        <v>3610160</v>
      </c>
      <c r="B618" s="175" t="s">
        <v>61</v>
      </c>
      <c r="C618" s="206"/>
      <c r="D618" s="605" t="s">
        <v>13</v>
      </c>
      <c r="E618" s="348">
        <f t="shared" ref="E618:H618" si="132">E619</f>
        <v>0</v>
      </c>
      <c r="F618" s="95">
        <f t="shared" si="132"/>
        <v>0</v>
      </c>
      <c r="G618" s="95">
        <f t="shared" si="132"/>
        <v>0</v>
      </c>
      <c r="H618" s="95" t="e">
        <f t="shared" si="132"/>
        <v>#REF!</v>
      </c>
      <c r="I618" s="741" t="e">
        <f>H618/G618*100</f>
        <v>#REF!</v>
      </c>
      <c r="J618" s="89"/>
      <c r="K618" s="498"/>
      <c r="L618" s="498"/>
      <c r="M618" s="498"/>
      <c r="N618" s="499"/>
      <c r="O618" s="499"/>
      <c r="P618" s="499"/>
    </row>
    <row r="619" spans="1:16" s="500" customFormat="1" ht="18.75" hidden="1" customHeight="1" x14ac:dyDescent="0.25">
      <c r="A619" s="187"/>
      <c r="B619" s="349"/>
      <c r="C619" s="238"/>
      <c r="D619" s="446"/>
      <c r="E619" s="333"/>
      <c r="F619" s="309"/>
      <c r="G619" s="39"/>
      <c r="H619" s="39" t="e">
        <f>G619-#REF!</f>
        <v>#REF!</v>
      </c>
      <c r="I619" s="741" t="e">
        <f>H619/G619*100</f>
        <v>#REF!</v>
      </c>
      <c r="J619" s="89"/>
      <c r="K619" s="498"/>
      <c r="L619" s="498"/>
      <c r="M619" s="498"/>
      <c r="N619" s="499"/>
      <c r="O619" s="499"/>
      <c r="P619" s="499"/>
    </row>
    <row r="620" spans="1:16" s="500" customFormat="1" ht="9" hidden="1" customHeight="1" x14ac:dyDescent="0.35">
      <c r="A620" s="494"/>
      <c r="B620" s="495"/>
      <c r="C620" s="496"/>
      <c r="D620" s="637"/>
      <c r="E620" s="497"/>
      <c r="F620" s="488"/>
      <c r="G620" s="488"/>
      <c r="H620" s="488"/>
      <c r="I620" s="741" t="e">
        <f>H620/G620*100</f>
        <v>#DIV/0!</v>
      </c>
      <c r="J620" s="89"/>
      <c r="K620" s="498"/>
      <c r="L620" s="498"/>
      <c r="M620" s="498"/>
      <c r="N620" s="499"/>
      <c r="O620" s="499"/>
      <c r="P620" s="499"/>
    </row>
    <row r="621" spans="1:16" ht="24.75" customHeight="1" x14ac:dyDescent="0.3">
      <c r="A621" s="206">
        <v>3617130</v>
      </c>
      <c r="B621" s="175">
        <v>7130</v>
      </c>
      <c r="C621" s="206"/>
      <c r="D621" s="605" t="s">
        <v>48</v>
      </c>
      <c r="E621" s="348">
        <f t="shared" ref="E621:H621" si="133">E622</f>
        <v>98000</v>
      </c>
      <c r="F621" s="95">
        <f t="shared" si="133"/>
        <v>98000</v>
      </c>
      <c r="G621" s="95">
        <f t="shared" si="133"/>
        <v>98000</v>
      </c>
      <c r="H621" s="95">
        <f t="shared" si="133"/>
        <v>48000</v>
      </c>
      <c r="I621" s="745">
        <f>H621/G621*100</f>
        <v>48.979591836734691</v>
      </c>
      <c r="J621" s="107"/>
      <c r="K621" s="25"/>
      <c r="L621" s="25"/>
      <c r="M621" s="25"/>
    </row>
    <row r="622" spans="1:16" ht="36" customHeight="1" x14ac:dyDescent="0.25">
      <c r="A622" s="187"/>
      <c r="B622" s="349"/>
      <c r="C622" s="238"/>
      <c r="D622" s="636" t="s">
        <v>203</v>
      </c>
      <c r="E622" s="333">
        <f>98000</f>
        <v>98000</v>
      </c>
      <c r="F622" s="333">
        <f>98000</f>
        <v>98000</v>
      </c>
      <c r="G622" s="39">
        <f>98000</f>
        <v>98000</v>
      </c>
      <c r="H622" s="39">
        <f>5000+5000+15000+5000+18000</f>
        <v>48000</v>
      </c>
      <c r="I622" s="734">
        <f>H622/G622*100</f>
        <v>48.979591836734691</v>
      </c>
      <c r="J622" s="89"/>
      <c r="K622" s="25"/>
      <c r="L622" s="25"/>
      <c r="M622" s="25"/>
    </row>
    <row r="623" spans="1:16" ht="13.5" customHeight="1" x14ac:dyDescent="0.25">
      <c r="A623" s="313"/>
      <c r="B623" s="188"/>
      <c r="C623" s="212"/>
      <c r="D623" s="550"/>
      <c r="E623" s="119"/>
      <c r="F623" s="119"/>
      <c r="G623" s="39"/>
      <c r="H623" s="39"/>
      <c r="I623" s="734"/>
      <c r="J623" s="89"/>
      <c r="K623" s="25"/>
      <c r="L623" s="25"/>
      <c r="M623" s="25"/>
    </row>
    <row r="624" spans="1:16" s="235" customFormat="1" ht="38.25" hidden="1" customHeight="1" x14ac:dyDescent="0.35">
      <c r="A624" s="345">
        <v>3710000</v>
      </c>
      <c r="B624" s="346"/>
      <c r="C624" s="347"/>
      <c r="D624" s="201" t="s">
        <v>106</v>
      </c>
      <c r="E624" s="202">
        <f>E625+E627</f>
        <v>0</v>
      </c>
      <c r="F624" s="274">
        <f>F625+F627</f>
        <v>0</v>
      </c>
      <c r="G624" s="274">
        <f>G625+G627</f>
        <v>0</v>
      </c>
      <c r="H624" s="274" t="e">
        <f>G624-#REF!</f>
        <v>#REF!</v>
      </c>
      <c r="I624" s="734"/>
      <c r="J624" s="203"/>
      <c r="K624" s="233"/>
      <c r="L624" s="233"/>
      <c r="M624" s="233"/>
      <c r="N624" s="234"/>
      <c r="O624" s="234"/>
      <c r="P624" s="234"/>
    </row>
    <row r="625" spans="1:16" s="249" customFormat="1" ht="21" hidden="1" customHeight="1" x14ac:dyDescent="0.3">
      <c r="A625" s="206" t="s">
        <v>107</v>
      </c>
      <c r="B625" s="175" t="s">
        <v>61</v>
      </c>
      <c r="C625" s="206"/>
      <c r="D625" s="605" t="s">
        <v>13</v>
      </c>
      <c r="E625" s="348">
        <f t="shared" ref="E625:H625" si="134">E626</f>
        <v>0</v>
      </c>
      <c r="F625" s="95">
        <f t="shared" si="134"/>
        <v>0</v>
      </c>
      <c r="G625" s="95">
        <f t="shared" si="134"/>
        <v>0</v>
      </c>
      <c r="H625" s="95" t="e">
        <f t="shared" si="134"/>
        <v>#REF!</v>
      </c>
      <c r="I625" s="734"/>
      <c r="J625" s="107"/>
      <c r="K625" s="247"/>
      <c r="L625" s="247"/>
      <c r="M625" s="247"/>
      <c r="N625" s="248"/>
      <c r="O625" s="248"/>
      <c r="P625" s="248"/>
    </row>
    <row r="626" spans="1:16" s="141" customFormat="1" ht="24" hidden="1" customHeight="1" x14ac:dyDescent="0.25">
      <c r="A626" s="187"/>
      <c r="B626" s="349"/>
      <c r="C626" s="238"/>
      <c r="D626" s="446"/>
      <c r="E626" s="333"/>
      <c r="F626" s="309"/>
      <c r="G626" s="39"/>
      <c r="H626" s="39" t="e">
        <f>G626-#REF!</f>
        <v>#REF!</v>
      </c>
      <c r="I626" s="734"/>
      <c r="J626" s="89"/>
      <c r="K626" s="139"/>
      <c r="L626" s="139"/>
      <c r="M626" s="139"/>
      <c r="N626" s="140"/>
      <c r="O626" s="140"/>
      <c r="P626" s="140"/>
    </row>
    <row r="627" spans="1:16" s="141" customFormat="1" ht="26.25" hidden="1" customHeight="1" x14ac:dyDescent="0.3">
      <c r="A627" s="206"/>
      <c r="B627" s="205">
        <v>9770</v>
      </c>
      <c r="C627" s="216"/>
      <c r="D627" s="605" t="s">
        <v>57</v>
      </c>
      <c r="E627" s="348">
        <f>E628+E630+E631</f>
        <v>0</v>
      </c>
      <c r="F627" s="95">
        <f>F631+F634</f>
        <v>0</v>
      </c>
      <c r="G627" s="95">
        <f>G631+G634</f>
        <v>0</v>
      </c>
      <c r="H627" s="95" t="e">
        <f>H628+H629+H631</f>
        <v>#REF!</v>
      </c>
      <c r="I627" s="734"/>
      <c r="J627" s="107"/>
      <c r="K627" s="139"/>
      <c r="L627" s="139"/>
      <c r="M627" s="139"/>
      <c r="N627" s="140"/>
      <c r="O627" s="140"/>
      <c r="P627" s="140"/>
    </row>
    <row r="628" spans="1:16" s="141" customFormat="1" ht="29.25" hidden="1" customHeight="1" x14ac:dyDescent="0.25">
      <c r="A628" s="187"/>
      <c r="B628" s="350"/>
      <c r="C628" s="238"/>
      <c r="D628" s="446"/>
      <c r="E628" s="40"/>
      <c r="F628" s="309"/>
      <c r="G628" s="39"/>
      <c r="H628" s="39" t="e">
        <f>G628-#REF!</f>
        <v>#REF!</v>
      </c>
      <c r="I628" s="734"/>
      <c r="J628" s="89"/>
      <c r="K628" s="139"/>
      <c r="L628" s="139"/>
      <c r="M628" s="139"/>
      <c r="N628" s="140"/>
      <c r="O628" s="140"/>
      <c r="P628" s="140"/>
    </row>
    <row r="629" spans="1:16" s="141" customFormat="1" ht="29.25" hidden="1" customHeight="1" x14ac:dyDescent="0.25">
      <c r="A629" s="187"/>
      <c r="B629" s="350"/>
      <c r="C629" s="238"/>
      <c r="D629" s="638" t="s">
        <v>108</v>
      </c>
      <c r="E629" s="40"/>
      <c r="F629" s="351">
        <f>F630</f>
        <v>0</v>
      </c>
      <c r="G629" s="351">
        <f>G630</f>
        <v>0</v>
      </c>
      <c r="H629" s="351" t="e">
        <f>H630</f>
        <v>#REF!</v>
      </c>
      <c r="I629" s="734"/>
      <c r="J629" s="344"/>
      <c r="K629" s="139"/>
      <c r="L629" s="139"/>
      <c r="M629" s="139"/>
      <c r="N629" s="140"/>
      <c r="O629" s="140"/>
      <c r="P629" s="140"/>
    </row>
    <row r="630" spans="1:16" s="141" customFormat="1" ht="69.75" hidden="1" customHeight="1" x14ac:dyDescent="0.25">
      <c r="A630" s="187"/>
      <c r="B630" s="350"/>
      <c r="C630" s="238"/>
      <c r="D630" s="639"/>
      <c r="E630" s="40"/>
      <c r="F630" s="309">
        <f>200000-200000</f>
        <v>0</v>
      </c>
      <c r="G630" s="39">
        <f>200000-200000</f>
        <v>0</v>
      </c>
      <c r="H630" s="39" t="e">
        <f>G630-#REF!</f>
        <v>#REF!</v>
      </c>
      <c r="I630" s="734"/>
      <c r="J630" s="89"/>
      <c r="K630" s="139"/>
      <c r="L630" s="139"/>
      <c r="M630" s="139"/>
      <c r="N630" s="140"/>
      <c r="O630" s="140"/>
      <c r="P630" s="140"/>
    </row>
    <row r="631" spans="1:16" s="141" customFormat="1" ht="29.25" hidden="1" customHeight="1" x14ac:dyDescent="0.25">
      <c r="A631" s="187"/>
      <c r="B631" s="350"/>
      <c r="C631" s="238"/>
      <c r="D631" s="300" t="s">
        <v>109</v>
      </c>
      <c r="E631" s="40"/>
      <c r="F631" s="351">
        <f>SUM(F632:F633)</f>
        <v>0</v>
      </c>
      <c r="G631" s="351">
        <f>SUM(G632:G633)</f>
        <v>0</v>
      </c>
      <c r="H631" s="351" t="e">
        <f>SUM(H632:H634)</f>
        <v>#REF!</v>
      </c>
      <c r="I631" s="734"/>
      <c r="J631" s="281"/>
      <c r="K631" s="139"/>
      <c r="L631" s="139"/>
      <c r="M631" s="139"/>
      <c r="N631" s="140"/>
      <c r="O631" s="140"/>
      <c r="P631" s="140"/>
    </row>
    <row r="632" spans="1:16" s="141" customFormat="1" ht="86.25" hidden="1" customHeight="1" x14ac:dyDescent="0.25">
      <c r="A632" s="187"/>
      <c r="B632" s="350"/>
      <c r="C632" s="238"/>
      <c r="D632" s="446"/>
      <c r="E632" s="40"/>
      <c r="F632" s="309"/>
      <c r="G632" s="39"/>
      <c r="H632" s="39" t="e">
        <f>G632-#REF!</f>
        <v>#REF!</v>
      </c>
      <c r="I632" s="734"/>
      <c r="J632" s="89"/>
      <c r="K632" s="139"/>
      <c r="L632" s="139"/>
      <c r="M632" s="139"/>
      <c r="N632" s="140"/>
      <c r="O632" s="140"/>
      <c r="P632" s="140"/>
    </row>
    <row r="633" spans="1:16" s="141" customFormat="1" ht="28.5" hidden="1" customHeight="1" x14ac:dyDescent="0.25">
      <c r="A633" s="187"/>
      <c r="B633" s="350"/>
      <c r="C633" s="238"/>
      <c r="D633" s="446"/>
      <c r="E633" s="40"/>
      <c r="F633" s="309"/>
      <c r="G633" s="39"/>
      <c r="H633" s="39" t="e">
        <f>G633-#REF!</f>
        <v>#REF!</v>
      </c>
      <c r="I633" s="734"/>
      <c r="J633" s="89"/>
      <c r="K633" s="139"/>
      <c r="L633" s="139"/>
      <c r="M633" s="139"/>
      <c r="N633" s="140"/>
      <c r="O633" s="140"/>
      <c r="P633" s="140"/>
    </row>
    <row r="634" spans="1:16" s="141" customFormat="1" ht="28.5" hidden="1" customHeight="1" x14ac:dyDescent="0.25">
      <c r="A634" s="187"/>
      <c r="B634" s="350"/>
      <c r="C634" s="238"/>
      <c r="D634" s="300" t="s">
        <v>150</v>
      </c>
      <c r="E634" s="40"/>
      <c r="F634" s="309">
        <f>F635+F636</f>
        <v>0</v>
      </c>
      <c r="G634" s="309">
        <f>G635+G636</f>
        <v>0</v>
      </c>
      <c r="H634" s="39" t="e">
        <f>G634-#REF!</f>
        <v>#REF!</v>
      </c>
      <c r="I634" s="734"/>
      <c r="J634" s="89"/>
      <c r="K634" s="139"/>
      <c r="L634" s="139"/>
      <c r="M634" s="139"/>
      <c r="N634" s="140"/>
      <c r="O634" s="140"/>
      <c r="P634" s="140"/>
    </row>
    <row r="635" spans="1:16" s="141" customFormat="1" ht="31.5" hidden="1" customHeight="1" x14ac:dyDescent="0.25">
      <c r="A635" s="187"/>
      <c r="B635" s="350"/>
      <c r="C635" s="238"/>
      <c r="D635" s="640"/>
      <c r="E635" s="40"/>
      <c r="F635" s="309"/>
      <c r="G635" s="39"/>
      <c r="H635" s="39" t="e">
        <f>G635-#REF!</f>
        <v>#REF!</v>
      </c>
      <c r="I635" s="734"/>
      <c r="J635" s="89"/>
      <c r="K635" s="139"/>
      <c r="L635" s="139"/>
      <c r="M635" s="139"/>
      <c r="N635" s="140"/>
      <c r="O635" s="140"/>
      <c r="P635" s="140"/>
    </row>
    <row r="636" spans="1:16" s="141" customFormat="1" ht="28.5" hidden="1" customHeight="1" x14ac:dyDescent="0.25">
      <c r="A636" s="187"/>
      <c r="B636" s="350"/>
      <c r="C636" s="238"/>
      <c r="D636" s="446"/>
      <c r="E636" s="40"/>
      <c r="F636" s="309"/>
      <c r="G636" s="39"/>
      <c r="H636" s="39" t="e">
        <f>G636-#REF!</f>
        <v>#REF!</v>
      </c>
      <c r="I636" s="734"/>
      <c r="J636" s="89"/>
      <c r="K636" s="139"/>
      <c r="L636" s="139"/>
      <c r="M636" s="139"/>
      <c r="N636" s="140"/>
      <c r="O636" s="140"/>
      <c r="P636" s="140"/>
    </row>
    <row r="637" spans="1:16" s="141" customFormat="1" ht="18" hidden="1" customHeight="1" x14ac:dyDescent="0.25">
      <c r="A637" s="187"/>
      <c r="B637" s="350"/>
      <c r="C637" s="238"/>
      <c r="D637" s="446"/>
      <c r="E637" s="40"/>
      <c r="F637" s="309"/>
      <c r="G637" s="39"/>
      <c r="H637" s="39"/>
      <c r="I637" s="734"/>
      <c r="J637" s="89"/>
      <c r="K637" s="139"/>
      <c r="L637" s="139"/>
      <c r="M637" s="139"/>
      <c r="N637" s="140"/>
      <c r="O637" s="140"/>
      <c r="P637" s="140"/>
    </row>
    <row r="638" spans="1:16" s="141" customFormat="1" ht="18" customHeight="1" x14ac:dyDescent="0.25">
      <c r="A638" s="187"/>
      <c r="B638" s="350"/>
      <c r="C638" s="238"/>
      <c r="D638" s="446"/>
      <c r="E638" s="40"/>
      <c r="F638" s="309"/>
      <c r="G638" s="39"/>
      <c r="H638" s="39"/>
      <c r="I638" s="734"/>
      <c r="J638" s="89"/>
      <c r="K638" s="139"/>
      <c r="L638" s="139"/>
      <c r="M638" s="139"/>
      <c r="N638" s="140"/>
      <c r="O638" s="140"/>
      <c r="P638" s="140"/>
    </row>
    <row r="639" spans="1:16" s="356" customFormat="1" ht="30" customHeight="1" x14ac:dyDescent="0.3">
      <c r="A639" s="352"/>
      <c r="B639" s="353"/>
      <c r="C639" s="783" t="s">
        <v>204</v>
      </c>
      <c r="D639" s="783"/>
      <c r="E639" s="353">
        <f t="shared" ref="E639:G639" si="135">E8+E211+E289+E316+E372+E388+E617+E624</f>
        <v>201401355</v>
      </c>
      <c r="F639" s="353">
        <f t="shared" si="135"/>
        <v>201401355</v>
      </c>
      <c r="G639" s="353">
        <f t="shared" si="135"/>
        <v>103454755</v>
      </c>
      <c r="H639" s="353">
        <f>H8+H211+H289+H316+H388+H617</f>
        <v>32952564.93</v>
      </c>
      <c r="I639" s="738">
        <f>H639/G639*100</f>
        <v>31.852151145686825</v>
      </c>
      <c r="J639" s="275"/>
      <c r="K639" s="354"/>
      <c r="L639" s="354"/>
      <c r="M639" s="354"/>
      <c r="N639" s="354"/>
      <c r="O639" s="355"/>
      <c r="P639" s="355"/>
    </row>
    <row r="640" spans="1:16" s="356" customFormat="1" ht="15.75" customHeight="1" x14ac:dyDescent="0.3">
      <c r="A640" s="726"/>
      <c r="B640" s="727"/>
      <c r="C640" s="728"/>
      <c r="D640" s="728"/>
      <c r="E640" s="727"/>
      <c r="F640" s="727"/>
      <c r="G640" s="727"/>
      <c r="H640" s="727"/>
      <c r="I640" s="743"/>
      <c r="J640" s="725"/>
      <c r="K640" s="354"/>
      <c r="L640" s="354"/>
      <c r="M640" s="354"/>
      <c r="N640" s="354"/>
      <c r="O640" s="355"/>
      <c r="P640" s="355"/>
    </row>
    <row r="641" spans="1:16" s="356" customFormat="1" ht="46.5" customHeight="1" x14ac:dyDescent="0.3">
      <c r="A641" s="677"/>
      <c r="B641" s="678"/>
      <c r="C641" s="749" t="s">
        <v>239</v>
      </c>
      <c r="D641" s="749"/>
      <c r="E641" s="678">
        <f>E639</f>
        <v>201401355</v>
      </c>
      <c r="F641" s="678">
        <f>F639+3533.96</f>
        <v>201404888.96000001</v>
      </c>
      <c r="G641" s="678">
        <f>G639+3533.96</f>
        <v>103458288.95999999</v>
      </c>
      <c r="H641" s="678">
        <f>H639+3533.96</f>
        <v>32956098.890000001</v>
      </c>
      <c r="I641" s="739">
        <f>H641/G641*100</f>
        <v>31.854478960832029</v>
      </c>
      <c r="J641" s="679"/>
      <c r="K641" s="354"/>
      <c r="L641" s="354"/>
      <c r="M641" s="354"/>
      <c r="N641" s="354"/>
      <c r="O641" s="355"/>
      <c r="P641" s="355"/>
    </row>
    <row r="642" spans="1:16" s="356" customFormat="1" ht="41.25" hidden="1" customHeight="1" x14ac:dyDescent="0.3">
      <c r="A642" s="352"/>
      <c r="B642" s="353"/>
      <c r="C642" s="783" t="s">
        <v>205</v>
      </c>
      <c r="D642" s="783"/>
      <c r="E642" s="522">
        <f>E639+E722</f>
        <v>201401355</v>
      </c>
      <c r="F642" s="353">
        <f>F639+F722+F803</f>
        <v>203156354.87</v>
      </c>
      <c r="G642" s="353">
        <f>G639+G722+G803</f>
        <v>105209754.87</v>
      </c>
      <c r="H642" s="353" t="e">
        <f>H639+H722+H803</f>
        <v>#REF!</v>
      </c>
      <c r="I642" s="737" t="e">
        <f>H642/G642*100</f>
        <v>#REF!</v>
      </c>
      <c r="J642" s="275"/>
      <c r="K642" s="354"/>
      <c r="L642" s="354"/>
      <c r="M642" s="354"/>
      <c r="N642" s="504"/>
      <c r="O642" s="505"/>
      <c r="P642" s="355"/>
    </row>
    <row r="643" spans="1:16" ht="34.5" hidden="1" customHeight="1" x14ac:dyDescent="0.3">
      <c r="A643" s="357"/>
      <c r="B643" s="358"/>
      <c r="C643" s="784" t="s">
        <v>206</v>
      </c>
      <c r="D643" s="784"/>
      <c r="E643" s="523">
        <f>E642+E949+E825</f>
        <v>201401355</v>
      </c>
      <c r="F643" s="359">
        <f>F642+F814+F949+F825+F959</f>
        <v>203156354.87</v>
      </c>
      <c r="G643" s="359">
        <f>G642+G814+G949+G825+G959</f>
        <v>105209754.87</v>
      </c>
      <c r="H643" s="733" t="e">
        <f>H642+H814+H949+H825+H959</f>
        <v>#REF!</v>
      </c>
      <c r="I643" s="740" t="e">
        <f>H643/G643*100</f>
        <v>#REF!</v>
      </c>
      <c r="J643" s="275"/>
      <c r="K643" s="361" t="e">
        <f>H643+150000-45600</f>
        <v>#REF!</v>
      </c>
      <c r="L643" s="361" t="e">
        <f>I643+252000-52000-45600</f>
        <v>#REF!</v>
      </c>
      <c r="M643" s="25"/>
      <c r="N643" s="483"/>
      <c r="O643" s="507"/>
    </row>
    <row r="644" spans="1:16" ht="22.5" customHeight="1" x14ac:dyDescent="0.3">
      <c r="A644" s="362"/>
      <c r="B644" s="363"/>
      <c r="C644" s="364"/>
      <c r="D644" s="641"/>
      <c r="E644" s="364"/>
      <c r="F644" s="364"/>
      <c r="G644" s="364"/>
      <c r="H644" s="732"/>
      <c r="I644" s="732"/>
      <c r="J644" s="731"/>
      <c r="K644" s="25"/>
      <c r="L644" s="25"/>
      <c r="M644" s="506"/>
      <c r="N644" s="483"/>
    </row>
    <row r="645" spans="1:16" ht="20.25" customHeight="1" x14ac:dyDescent="0.3">
      <c r="A645" s="362"/>
      <c r="B645" s="363"/>
      <c r="C645" s="364"/>
      <c r="D645" s="750" t="s">
        <v>110</v>
      </c>
      <c r="E645" s="750"/>
      <c r="F645" s="750"/>
      <c r="G645" s="750"/>
      <c r="H645" s="750"/>
      <c r="I645" s="364"/>
      <c r="J645" s="365"/>
      <c r="K645" s="25"/>
      <c r="L645" s="25"/>
      <c r="M645" s="25"/>
    </row>
    <row r="646" spans="1:16" ht="20.25" customHeight="1" x14ac:dyDescent="0.3">
      <c r="A646" s="362"/>
      <c r="B646" s="363"/>
      <c r="C646" s="364"/>
      <c r="D646" s="750" t="s">
        <v>230</v>
      </c>
      <c r="E646" s="750"/>
      <c r="F646" s="750"/>
      <c r="G646" s="750"/>
      <c r="H646" s="750"/>
      <c r="I646" s="364"/>
      <c r="J646" s="365"/>
      <c r="K646" s="25"/>
      <c r="L646" s="25"/>
      <c r="M646" s="25"/>
    </row>
    <row r="647" spans="1:16" ht="25.5" customHeight="1" x14ac:dyDescent="0.3">
      <c r="A647" s="362"/>
      <c r="B647" s="363"/>
      <c r="C647" s="364"/>
      <c r="D647" s="793" t="s">
        <v>238</v>
      </c>
      <c r="E647" s="793"/>
      <c r="F647" s="793"/>
      <c r="G647" s="793"/>
      <c r="H647" s="793"/>
      <c r="I647" s="364"/>
      <c r="J647" s="365"/>
      <c r="K647" s="25"/>
      <c r="L647" s="25"/>
      <c r="M647" s="25"/>
    </row>
    <row r="648" spans="1:16" ht="18.75" customHeight="1" x14ac:dyDescent="0.3">
      <c r="A648" s="362"/>
      <c r="B648" s="363"/>
      <c r="C648" s="364"/>
      <c r="D648" s="641"/>
      <c r="E648" s="364"/>
      <c r="F648" s="366"/>
      <c r="G648" s="364"/>
      <c r="H648" s="364"/>
      <c r="I648" s="364"/>
      <c r="J648" s="365"/>
      <c r="K648" s="25"/>
      <c r="L648" s="25"/>
      <c r="M648" s="25"/>
    </row>
    <row r="649" spans="1:16" ht="31.5" customHeight="1" x14ac:dyDescent="0.25">
      <c r="A649" s="772" t="s">
        <v>3</v>
      </c>
      <c r="B649" s="772" t="s">
        <v>4</v>
      </c>
      <c r="C649" s="772" t="s">
        <v>5</v>
      </c>
      <c r="D649" s="767" t="s">
        <v>6</v>
      </c>
      <c r="E649" s="753" t="s">
        <v>152</v>
      </c>
      <c r="F649" s="756" t="s">
        <v>153</v>
      </c>
      <c r="G649" s="756" t="s">
        <v>284</v>
      </c>
      <c r="H649" s="791" t="s">
        <v>285</v>
      </c>
      <c r="I649" s="792" t="s">
        <v>286</v>
      </c>
      <c r="J649" s="17"/>
      <c r="K649" s="25"/>
      <c r="L649" s="25"/>
      <c r="M649" s="25"/>
    </row>
    <row r="650" spans="1:16" ht="58.5" customHeight="1" x14ac:dyDescent="0.25">
      <c r="A650" s="773"/>
      <c r="B650" s="773"/>
      <c r="C650" s="773"/>
      <c r="D650" s="768"/>
      <c r="E650" s="753"/>
      <c r="F650" s="756"/>
      <c r="G650" s="756"/>
      <c r="H650" s="791"/>
      <c r="I650" s="792"/>
      <c r="J650" s="17"/>
      <c r="K650" s="25"/>
      <c r="L650" s="25"/>
      <c r="M650" s="25"/>
    </row>
    <row r="651" spans="1:16" ht="26.25" customHeight="1" x14ac:dyDescent="0.25">
      <c r="A651" s="19" t="s">
        <v>9</v>
      </c>
      <c r="B651" s="20"/>
      <c r="C651" s="20"/>
      <c r="D651" s="535" t="s">
        <v>10</v>
      </c>
      <c r="E651" s="22">
        <f>E652</f>
        <v>0</v>
      </c>
      <c r="F651" s="22">
        <f>F652+F657</f>
        <v>1354999.87</v>
      </c>
      <c r="G651" s="22">
        <f>G652+G657</f>
        <v>1354999.87</v>
      </c>
      <c r="H651" s="22">
        <f>H652</f>
        <v>1354999.87</v>
      </c>
      <c r="I651" s="735">
        <f>H651/G651*100</f>
        <v>100</v>
      </c>
      <c r="J651" s="23"/>
      <c r="K651" s="25"/>
      <c r="L651" s="25"/>
      <c r="M651" s="25"/>
    </row>
    <row r="652" spans="1:16" ht="21" customHeight="1" x14ac:dyDescent="0.3">
      <c r="A652" s="26" t="s">
        <v>53</v>
      </c>
      <c r="B652" s="150">
        <v>8230</v>
      </c>
      <c r="C652" s="28"/>
      <c r="D652" s="536"/>
      <c r="E652" s="29">
        <f>E653</f>
        <v>0</v>
      </c>
      <c r="F652" s="29">
        <f>F653</f>
        <v>1354999.87</v>
      </c>
      <c r="G652" s="29">
        <f>G653</f>
        <v>1354999.87</v>
      </c>
      <c r="H652" s="29">
        <f>H653</f>
        <v>1354999.87</v>
      </c>
      <c r="I652" s="735">
        <f>H652/G652*100</f>
        <v>100</v>
      </c>
      <c r="J652" s="30"/>
      <c r="K652" s="25"/>
      <c r="L652" s="25"/>
      <c r="M652" s="25"/>
    </row>
    <row r="653" spans="1:16" ht="21.75" customHeight="1" x14ac:dyDescent="0.3">
      <c r="A653" s="31"/>
      <c r="B653" s="32"/>
      <c r="C653" s="32"/>
      <c r="D653" s="537" t="s">
        <v>13</v>
      </c>
      <c r="E653" s="33">
        <f t="shared" ref="E653:H653" si="136">SUM(E654:E656)</f>
        <v>0</v>
      </c>
      <c r="F653" s="33">
        <f t="shared" si="136"/>
        <v>1354999.87</v>
      </c>
      <c r="G653" s="33">
        <f t="shared" si="136"/>
        <v>1354999.87</v>
      </c>
      <c r="H653" s="33">
        <f t="shared" si="136"/>
        <v>1354999.87</v>
      </c>
      <c r="I653" s="735">
        <f>H653/G653*100</f>
        <v>100</v>
      </c>
      <c r="J653" s="34"/>
      <c r="K653" s="25"/>
      <c r="L653" s="25"/>
      <c r="M653" s="25"/>
    </row>
    <row r="654" spans="1:16" ht="45.75" customHeight="1" x14ac:dyDescent="0.25">
      <c r="A654" s="367"/>
      <c r="B654" s="367"/>
      <c r="C654" s="368"/>
      <c r="D654" s="671" t="s">
        <v>233</v>
      </c>
      <c r="E654" s="146"/>
      <c r="F654" s="487">
        <f>1354999.87</f>
        <v>1354999.87</v>
      </c>
      <c r="G654" s="54">
        <f>1354999.87</f>
        <v>1354999.87</v>
      </c>
      <c r="H654" s="54">
        <f>1354999.87</f>
        <v>1354999.87</v>
      </c>
      <c r="I654" s="730">
        <f>H654/G654*100</f>
        <v>100</v>
      </c>
      <c r="J654" s="89"/>
      <c r="K654" s="25"/>
      <c r="L654" s="25"/>
      <c r="M654" s="25"/>
    </row>
    <row r="655" spans="1:16" ht="36.75" customHeight="1" x14ac:dyDescent="0.25">
      <c r="A655" s="367"/>
      <c r="B655" s="367"/>
      <c r="C655" s="368"/>
      <c r="D655" s="676" t="s">
        <v>237</v>
      </c>
      <c r="E655" s="146"/>
      <c r="F655" s="487"/>
      <c r="G655" s="369"/>
      <c r="H655" s="54"/>
      <c r="I655" s="730"/>
      <c r="J655" s="89"/>
      <c r="K655" s="25"/>
      <c r="L655" s="25"/>
      <c r="M655" s="25"/>
    </row>
    <row r="656" spans="1:16" ht="15" customHeight="1" x14ac:dyDescent="0.25">
      <c r="A656" s="367"/>
      <c r="B656" s="367"/>
      <c r="C656" s="368"/>
      <c r="D656" s="642"/>
      <c r="E656" s="146"/>
      <c r="F656" s="54"/>
      <c r="G656" s="369"/>
      <c r="H656" s="54"/>
      <c r="I656" s="730"/>
      <c r="J656" s="89"/>
      <c r="K656" s="25"/>
      <c r="L656" s="25"/>
      <c r="M656" s="25"/>
    </row>
    <row r="657" spans="1:13" ht="21.75" hidden="1" customHeight="1" x14ac:dyDescent="0.3">
      <c r="A657" s="26" t="s">
        <v>56</v>
      </c>
      <c r="B657" s="150">
        <v>9800</v>
      </c>
      <c r="C657" s="28"/>
      <c r="D657" s="536"/>
      <c r="E657" s="29">
        <f t="shared" ref="E657:H657" si="137">E658</f>
        <v>0</v>
      </c>
      <c r="F657" s="29">
        <f t="shared" si="137"/>
        <v>0</v>
      </c>
      <c r="G657" s="29">
        <f t="shared" si="137"/>
        <v>0</v>
      </c>
      <c r="H657" s="29" t="e">
        <f t="shared" si="137"/>
        <v>#REF!</v>
      </c>
      <c r="I657" s="730" t="e">
        <f>H657/G657*100</f>
        <v>#REF!</v>
      </c>
      <c r="J657" s="89"/>
      <c r="K657" s="25"/>
      <c r="L657" s="25"/>
      <c r="M657" s="25"/>
    </row>
    <row r="658" spans="1:13" ht="19.5" hidden="1" customHeight="1" x14ac:dyDescent="0.3">
      <c r="A658" s="31"/>
      <c r="B658" s="32"/>
      <c r="C658" s="32"/>
      <c r="D658" s="537" t="s">
        <v>57</v>
      </c>
      <c r="E658" s="33">
        <f t="shared" ref="E658:H658" si="138">SUM(E659:E660)</f>
        <v>0</v>
      </c>
      <c r="F658" s="33">
        <f t="shared" si="138"/>
        <v>0</v>
      </c>
      <c r="G658" s="33">
        <f t="shared" si="138"/>
        <v>0</v>
      </c>
      <c r="H658" s="33" t="e">
        <f t="shared" si="138"/>
        <v>#REF!</v>
      </c>
      <c r="I658" s="730" t="e">
        <f>H658/G658*100</f>
        <v>#REF!</v>
      </c>
      <c r="J658" s="89"/>
      <c r="K658" s="25"/>
      <c r="L658" s="25"/>
      <c r="M658" s="25"/>
    </row>
    <row r="659" spans="1:13" hidden="1" x14ac:dyDescent="0.25">
      <c r="A659" s="367"/>
      <c r="B659" s="367"/>
      <c r="C659" s="368"/>
      <c r="D659" s="562"/>
      <c r="E659" s="146"/>
      <c r="F659" s="54"/>
      <c r="G659" s="54"/>
      <c r="H659" s="54" t="e">
        <f>G659-#REF!</f>
        <v>#REF!</v>
      </c>
      <c r="I659" s="730" t="e">
        <f>H659/G659*100</f>
        <v>#REF!</v>
      </c>
      <c r="J659" s="89"/>
      <c r="K659" s="25"/>
      <c r="L659" s="25"/>
      <c r="M659" s="25"/>
    </row>
    <row r="660" spans="1:13" hidden="1" x14ac:dyDescent="0.25">
      <c r="A660" s="367"/>
      <c r="B660" s="367"/>
      <c r="C660" s="368"/>
      <c r="D660" s="562"/>
      <c r="E660" s="146"/>
      <c r="F660" s="54"/>
      <c r="G660" s="54"/>
      <c r="H660" s="54" t="e">
        <f>G660-#REF!</f>
        <v>#REF!</v>
      </c>
      <c r="I660" s="730" t="e">
        <f>H660/G660*100</f>
        <v>#REF!</v>
      </c>
      <c r="J660" s="89"/>
      <c r="K660" s="25"/>
      <c r="L660" s="25"/>
      <c r="M660" s="25"/>
    </row>
    <row r="661" spans="1:13" ht="11.25" hidden="1" customHeight="1" x14ac:dyDescent="0.25">
      <c r="A661" s="367"/>
      <c r="B661" s="367"/>
      <c r="C661" s="368"/>
      <c r="D661" s="642"/>
      <c r="E661" s="146"/>
      <c r="F661" s="54"/>
      <c r="G661" s="369"/>
      <c r="H661" s="54"/>
      <c r="I661" s="730" t="e">
        <f>H661/G661*100</f>
        <v>#DIV/0!</v>
      </c>
      <c r="J661" s="89"/>
      <c r="K661" s="25"/>
      <c r="L661" s="25"/>
      <c r="M661" s="25"/>
    </row>
    <row r="662" spans="1:13" ht="22.5" hidden="1" x14ac:dyDescent="0.25">
      <c r="A662" s="283" t="s">
        <v>87</v>
      </c>
      <c r="B662" s="199"/>
      <c r="C662" s="370"/>
      <c r="D662" s="286" t="s">
        <v>88</v>
      </c>
      <c r="E662" s="371">
        <f>E663+E710+E826+E842+E856+E872+E876+E880</f>
        <v>0</v>
      </c>
      <c r="F662" s="372">
        <f>F670+F687+F693+F697+F710+F706</f>
        <v>0</v>
      </c>
      <c r="G662" s="372">
        <f t="shared" ref="G662:H662" si="139">G670+G687+G693+G697+G710+G706</f>
        <v>0</v>
      </c>
      <c r="H662" s="372" t="e">
        <f t="shared" si="139"/>
        <v>#REF!</v>
      </c>
      <c r="I662" s="730" t="e">
        <f>H662/G662*100</f>
        <v>#REF!</v>
      </c>
      <c r="J662" s="89"/>
      <c r="K662" s="25"/>
      <c r="L662" s="25"/>
      <c r="M662" s="25"/>
    </row>
    <row r="663" spans="1:13" ht="31.5" hidden="1" customHeight="1" x14ac:dyDescent="0.3">
      <c r="A663" s="206">
        <v>3110160</v>
      </c>
      <c r="B663" s="175" t="s">
        <v>61</v>
      </c>
      <c r="C663" s="206"/>
      <c r="D663" s="558"/>
      <c r="E663" s="27">
        <f t="shared" ref="E663:H663" si="140">E664+E666</f>
        <v>0</v>
      </c>
      <c r="F663" s="208">
        <f t="shared" si="140"/>
        <v>0</v>
      </c>
      <c r="G663" s="208">
        <f t="shared" si="140"/>
        <v>0</v>
      </c>
      <c r="H663" s="208" t="e">
        <f t="shared" si="140"/>
        <v>#REF!</v>
      </c>
      <c r="I663" s="730" t="e">
        <f>H663/G663*100</f>
        <v>#REF!</v>
      </c>
      <c r="J663" s="89"/>
      <c r="K663" s="25"/>
      <c r="L663" s="25"/>
      <c r="M663" s="25"/>
    </row>
    <row r="664" spans="1:13" ht="31.5" hidden="1" customHeight="1" x14ac:dyDescent="0.3">
      <c r="A664" s="211"/>
      <c r="B664" s="290"/>
      <c r="C664" s="211"/>
      <c r="D664" s="557" t="s">
        <v>13</v>
      </c>
      <c r="E664" s="106">
        <f t="shared" ref="E664:H664" si="141">SUM(E665)</f>
        <v>0</v>
      </c>
      <c r="F664" s="63">
        <f t="shared" si="141"/>
        <v>0</v>
      </c>
      <c r="G664" s="63">
        <f t="shared" si="141"/>
        <v>0</v>
      </c>
      <c r="H664" s="63" t="e">
        <f t="shared" si="141"/>
        <v>#REF!</v>
      </c>
      <c r="I664" s="730" t="e">
        <f>H664/G664*100</f>
        <v>#REF!</v>
      </c>
      <c r="J664" s="89"/>
      <c r="K664" s="25"/>
      <c r="L664" s="25"/>
      <c r="M664" s="25"/>
    </row>
    <row r="665" spans="1:13" ht="31.5" hidden="1" customHeight="1" x14ac:dyDescent="0.25">
      <c r="A665" s="187"/>
      <c r="B665" s="177"/>
      <c r="C665" s="212">
        <v>3110</v>
      </c>
      <c r="D665" s="540"/>
      <c r="E665" s="54"/>
      <c r="F665" s="38"/>
      <c r="G665" s="38"/>
      <c r="H665" s="39" t="e">
        <f>G665-#REF!</f>
        <v>#REF!</v>
      </c>
      <c r="I665" s="730" t="e">
        <f>H665/G665*100</f>
        <v>#REF!</v>
      </c>
      <c r="J665" s="89"/>
      <c r="K665" s="25"/>
      <c r="L665" s="25"/>
      <c r="M665" s="25"/>
    </row>
    <row r="666" spans="1:13" ht="31.5" hidden="1" customHeight="1" x14ac:dyDescent="0.3">
      <c r="A666" s="185"/>
      <c r="B666" s="167"/>
      <c r="C666" s="211"/>
      <c r="D666" s="557" t="s">
        <v>15</v>
      </c>
      <c r="E666" s="63">
        <f t="shared" ref="E666:H666" si="142">SUM(E667:E668)</f>
        <v>0</v>
      </c>
      <c r="F666" s="63">
        <f t="shared" si="142"/>
        <v>0</v>
      </c>
      <c r="G666" s="63">
        <f t="shared" si="142"/>
        <v>0</v>
      </c>
      <c r="H666" s="63" t="e">
        <f t="shared" si="142"/>
        <v>#REF!</v>
      </c>
      <c r="I666" s="730" t="e">
        <f>H666/G666*100</f>
        <v>#REF!</v>
      </c>
      <c r="J666" s="89"/>
      <c r="K666" s="25"/>
      <c r="L666" s="25"/>
      <c r="M666" s="25"/>
    </row>
    <row r="667" spans="1:13" ht="31.5" hidden="1" customHeight="1" x14ac:dyDescent="0.25">
      <c r="A667" s="187"/>
      <c r="B667" s="212"/>
      <c r="C667" s="212">
        <v>3132</v>
      </c>
      <c r="D667" s="603"/>
      <c r="E667" s="147"/>
      <c r="F667" s="54"/>
      <c r="G667" s="38"/>
      <c r="H667" s="39" t="e">
        <f>G667-#REF!</f>
        <v>#REF!</v>
      </c>
      <c r="I667" s="730" t="e">
        <f>H667/G667*100</f>
        <v>#REF!</v>
      </c>
      <c r="J667" s="89"/>
      <c r="K667" s="25"/>
      <c r="L667" s="25"/>
      <c r="M667" s="25"/>
    </row>
    <row r="668" spans="1:13" ht="31.5" hidden="1" customHeight="1" x14ac:dyDescent="0.25">
      <c r="A668" s="187"/>
      <c r="B668" s="212"/>
      <c r="C668" s="212"/>
      <c r="D668" s="587"/>
      <c r="E668" s="147"/>
      <c r="F668" s="54"/>
      <c r="G668" s="38"/>
      <c r="H668" s="39" t="e">
        <f>G668-#REF!</f>
        <v>#REF!</v>
      </c>
      <c r="I668" s="730" t="e">
        <f>H668/G668*100</f>
        <v>#REF!</v>
      </c>
      <c r="J668" s="89"/>
      <c r="K668" s="25"/>
      <c r="L668" s="25"/>
      <c r="M668" s="25"/>
    </row>
    <row r="669" spans="1:13" ht="31.5" hidden="1" customHeight="1" x14ac:dyDescent="0.25">
      <c r="A669" s="187"/>
      <c r="B669" s="212"/>
      <c r="C669" s="212"/>
      <c r="D669" s="587"/>
      <c r="E669" s="147"/>
      <c r="F669" s="54"/>
      <c r="G669" s="38"/>
      <c r="H669" s="39"/>
      <c r="I669" s="730" t="e">
        <f>H669/G669*100</f>
        <v>#DIV/0!</v>
      </c>
      <c r="J669" s="89"/>
      <c r="K669" s="25"/>
      <c r="L669" s="25"/>
      <c r="M669" s="25"/>
    </row>
    <row r="670" spans="1:13" ht="21" hidden="1" customHeight="1" x14ac:dyDescent="0.25">
      <c r="A670" s="206">
        <v>3116030</v>
      </c>
      <c r="B670" s="206">
        <v>6030</v>
      </c>
      <c r="C670" s="206"/>
      <c r="D670" s="588"/>
      <c r="E670" s="208">
        <f>E672</f>
        <v>0</v>
      </c>
      <c r="F670" s="208">
        <f>SUM(F672:F686)</f>
        <v>0</v>
      </c>
      <c r="G670" s="208">
        <f>SUM(G672:G686)</f>
        <v>0</v>
      </c>
      <c r="H670" s="208" t="e">
        <f>SUM(H672:H686)</f>
        <v>#REF!</v>
      </c>
      <c r="I670" s="730" t="e">
        <f>H670/G670*100</f>
        <v>#REF!</v>
      </c>
      <c r="J670" s="89"/>
      <c r="K670" s="25"/>
      <c r="L670" s="25"/>
      <c r="M670" s="25"/>
    </row>
    <row r="671" spans="1:13" ht="20.25" hidden="1" customHeight="1" x14ac:dyDescent="0.3">
      <c r="A671" s="211"/>
      <c r="B671" s="211"/>
      <c r="C671" s="211"/>
      <c r="D671" s="557" t="s">
        <v>15</v>
      </c>
      <c r="E671" s="292"/>
      <c r="F671" s="292">
        <f>SUM(F672:F685)</f>
        <v>0</v>
      </c>
      <c r="G671" s="292">
        <f>SUM(G672:G685)</f>
        <v>0</v>
      </c>
      <c r="H671" s="292" t="e">
        <f>SUM(H672:H685)</f>
        <v>#REF!</v>
      </c>
      <c r="I671" s="730" t="e">
        <f>H671/G671*100</f>
        <v>#REF!</v>
      </c>
      <c r="J671" s="89"/>
      <c r="K671" s="25"/>
      <c r="L671" s="25"/>
      <c r="M671" s="25"/>
    </row>
    <row r="672" spans="1:13" ht="30.75" hidden="1" customHeight="1" x14ac:dyDescent="0.25">
      <c r="A672" s="187"/>
      <c r="B672" s="212"/>
      <c r="C672" s="212"/>
      <c r="D672" s="550"/>
      <c r="E672" s="147"/>
      <c r="F672" s="487"/>
      <c r="G672" s="487"/>
      <c r="H672" s="39" t="e">
        <f>G672-#REF!</f>
        <v>#REF!</v>
      </c>
      <c r="I672" s="730" t="e">
        <f>H672/G672*100</f>
        <v>#REF!</v>
      </c>
      <c r="J672" s="89"/>
      <c r="K672" s="25"/>
      <c r="L672" s="25"/>
      <c r="M672" s="25"/>
    </row>
    <row r="673" spans="1:13" ht="36" hidden="1" customHeight="1" x14ac:dyDescent="0.25">
      <c r="A673" s="187"/>
      <c r="B673" s="212"/>
      <c r="C673" s="212"/>
      <c r="D673" s="643"/>
      <c r="E673" s="147"/>
      <c r="F673" s="485"/>
      <c r="G673" s="485"/>
      <c r="H673" s="39" t="e">
        <f>G673-#REF!</f>
        <v>#REF!</v>
      </c>
      <c r="I673" s="730" t="e">
        <f>H673/G673*100</f>
        <v>#REF!</v>
      </c>
      <c r="J673" s="89"/>
      <c r="K673" s="25"/>
      <c r="L673" s="25"/>
      <c r="M673" s="25"/>
    </row>
    <row r="674" spans="1:13" hidden="1" x14ac:dyDescent="0.25">
      <c r="A674" s="187"/>
      <c r="B674" s="212"/>
      <c r="C674" s="212"/>
      <c r="D674" s="575"/>
      <c r="E674" s="147"/>
      <c r="F674" s="485"/>
      <c r="G674" s="485"/>
      <c r="H674" s="39" t="e">
        <f>G674-#REF!</f>
        <v>#REF!</v>
      </c>
      <c r="I674" s="730" t="e">
        <f>H674/G674*100</f>
        <v>#REF!</v>
      </c>
      <c r="J674" s="89"/>
      <c r="K674" s="25"/>
      <c r="L674" s="25"/>
      <c r="M674" s="25"/>
    </row>
    <row r="675" spans="1:13" hidden="1" x14ac:dyDescent="0.25">
      <c r="A675" s="187"/>
      <c r="B675" s="212"/>
      <c r="C675" s="212"/>
      <c r="D675" s="539"/>
      <c r="E675" s="147"/>
      <c r="F675" s="485"/>
      <c r="G675" s="485"/>
      <c r="H675" s="39" t="e">
        <f>G675-#REF!</f>
        <v>#REF!</v>
      </c>
      <c r="I675" s="730" t="e">
        <f>H675/G675*100</f>
        <v>#REF!</v>
      </c>
      <c r="J675" s="89"/>
      <c r="K675" s="25"/>
      <c r="L675" s="25"/>
      <c r="M675" s="25"/>
    </row>
    <row r="676" spans="1:13" ht="30.75" hidden="1" customHeight="1" x14ac:dyDescent="0.25">
      <c r="A676" s="187"/>
      <c r="B676" s="212"/>
      <c r="C676" s="212"/>
      <c r="D676" s="539"/>
      <c r="E676" s="147"/>
      <c r="F676" s="485"/>
      <c r="G676" s="485"/>
      <c r="H676" s="39" t="e">
        <f>G676-#REF!</f>
        <v>#REF!</v>
      </c>
      <c r="I676" s="730" t="e">
        <f>H676/G676*100</f>
        <v>#REF!</v>
      </c>
      <c r="J676" s="89"/>
      <c r="K676" s="25"/>
      <c r="L676" s="25"/>
      <c r="M676" s="25"/>
    </row>
    <row r="677" spans="1:13" hidden="1" x14ac:dyDescent="0.25">
      <c r="A677" s="187"/>
      <c r="B677" s="212"/>
      <c r="C677" s="212"/>
      <c r="D677" s="539"/>
      <c r="E677" s="147"/>
      <c r="F677" s="485"/>
      <c r="G677" s="485"/>
      <c r="H677" s="39" t="e">
        <f>G677-#REF!</f>
        <v>#REF!</v>
      </c>
      <c r="I677" s="730" t="e">
        <f>H677/G677*100</f>
        <v>#REF!</v>
      </c>
      <c r="J677" s="89"/>
      <c r="K677" s="25"/>
      <c r="L677" s="25"/>
      <c r="M677" s="25"/>
    </row>
    <row r="678" spans="1:13" hidden="1" x14ac:dyDescent="0.25">
      <c r="A678" s="187"/>
      <c r="B678" s="212"/>
      <c r="C678" s="212"/>
      <c r="D678" s="539"/>
      <c r="E678" s="147"/>
      <c r="F678" s="485"/>
      <c r="G678" s="485"/>
      <c r="H678" s="39" t="e">
        <f>G678-#REF!</f>
        <v>#REF!</v>
      </c>
      <c r="I678" s="730" t="e">
        <f>H678/G678*100</f>
        <v>#REF!</v>
      </c>
      <c r="J678" s="89"/>
      <c r="K678" s="25"/>
      <c r="L678" s="25"/>
      <c r="M678" s="25"/>
    </row>
    <row r="679" spans="1:13" ht="36" hidden="1" customHeight="1" x14ac:dyDescent="0.25">
      <c r="A679" s="187"/>
      <c r="B679" s="212"/>
      <c r="C679" s="212"/>
      <c r="D679" s="539"/>
      <c r="E679" s="147"/>
      <c r="F679" s="485"/>
      <c r="G679" s="485"/>
      <c r="H679" s="39" t="e">
        <f>G679-#REF!</f>
        <v>#REF!</v>
      </c>
      <c r="I679" s="730" t="e">
        <f>H679/G679*100</f>
        <v>#REF!</v>
      </c>
      <c r="J679" s="89"/>
      <c r="K679" s="25"/>
      <c r="L679" s="25"/>
      <c r="M679" s="25"/>
    </row>
    <row r="680" spans="1:13" hidden="1" x14ac:dyDescent="0.25">
      <c r="A680" s="187"/>
      <c r="B680" s="212"/>
      <c r="C680" s="212"/>
      <c r="D680" s="539"/>
      <c r="E680" s="147"/>
      <c r="F680" s="485"/>
      <c r="G680" s="485"/>
      <c r="H680" s="39" t="e">
        <f>G680-#REF!</f>
        <v>#REF!</v>
      </c>
      <c r="I680" s="730" t="e">
        <f>H680/G680*100</f>
        <v>#REF!</v>
      </c>
      <c r="J680" s="89"/>
      <c r="K680" s="25"/>
      <c r="L680" s="25"/>
      <c r="M680" s="25"/>
    </row>
    <row r="681" spans="1:13" hidden="1" x14ac:dyDescent="0.25">
      <c r="A681" s="187"/>
      <c r="B681" s="212"/>
      <c r="C681" s="212"/>
      <c r="D681" s="539"/>
      <c r="E681" s="147"/>
      <c r="F681" s="485"/>
      <c r="G681" s="485"/>
      <c r="H681" s="39" t="e">
        <f>G681-#REF!</f>
        <v>#REF!</v>
      </c>
      <c r="I681" s="730" t="e">
        <f>H681/G681*100</f>
        <v>#REF!</v>
      </c>
      <c r="J681" s="89"/>
      <c r="K681" s="25"/>
      <c r="L681" s="25"/>
      <c r="M681" s="25"/>
    </row>
    <row r="682" spans="1:13" hidden="1" x14ac:dyDescent="0.25">
      <c r="A682" s="187"/>
      <c r="B682" s="212"/>
      <c r="C682" s="212"/>
      <c r="D682" s="539"/>
      <c r="E682" s="147"/>
      <c r="F682" s="485"/>
      <c r="G682" s="485"/>
      <c r="H682" s="39" t="e">
        <f>G682-#REF!</f>
        <v>#REF!</v>
      </c>
      <c r="I682" s="730" t="e">
        <f>H682/G682*100</f>
        <v>#REF!</v>
      </c>
      <c r="J682" s="89"/>
      <c r="K682" s="25"/>
      <c r="L682" s="25"/>
      <c r="M682" s="25"/>
    </row>
    <row r="683" spans="1:13" ht="32.25" hidden="1" customHeight="1" x14ac:dyDescent="0.25">
      <c r="A683" s="187"/>
      <c r="B683" s="212"/>
      <c r="C683" s="212"/>
      <c r="D683" s="539"/>
      <c r="E683" s="147"/>
      <c r="F683" s="485"/>
      <c r="G683" s="485"/>
      <c r="H683" s="39" t="e">
        <f>G683-#REF!</f>
        <v>#REF!</v>
      </c>
      <c r="I683" s="730" t="e">
        <f>H683/G683*100</f>
        <v>#REF!</v>
      </c>
      <c r="J683" s="89"/>
      <c r="K683" s="25"/>
      <c r="L683" s="25"/>
      <c r="M683" s="25"/>
    </row>
    <row r="684" spans="1:13" ht="30" hidden="1" customHeight="1" x14ac:dyDescent="0.25">
      <c r="A684" s="187"/>
      <c r="B684" s="212"/>
      <c r="C684" s="212"/>
      <c r="D684" s="539"/>
      <c r="E684" s="147"/>
      <c r="F684" s="485"/>
      <c r="G684" s="485"/>
      <c r="H684" s="39" t="e">
        <f>G684-#REF!</f>
        <v>#REF!</v>
      </c>
      <c r="I684" s="730" t="e">
        <f>H684/G684*100</f>
        <v>#REF!</v>
      </c>
      <c r="J684" s="89"/>
      <c r="K684" s="25"/>
      <c r="L684" s="25"/>
      <c r="M684" s="25"/>
    </row>
    <row r="685" spans="1:13" hidden="1" x14ac:dyDescent="0.25">
      <c r="A685" s="187"/>
      <c r="B685" s="212"/>
      <c r="C685" s="212"/>
      <c r="D685" s="539"/>
      <c r="E685" s="147"/>
      <c r="F685" s="38"/>
      <c r="G685" s="485"/>
      <c r="H685" s="39" t="e">
        <f>G685-#REF!</f>
        <v>#REF!</v>
      </c>
      <c r="I685" s="730" t="e">
        <f>H685/G685*100</f>
        <v>#REF!</v>
      </c>
      <c r="J685" s="89"/>
      <c r="K685" s="25"/>
      <c r="L685" s="25"/>
      <c r="M685" s="25"/>
    </row>
    <row r="686" spans="1:13" ht="15" hidden="1" customHeight="1" x14ac:dyDescent="0.25">
      <c r="A686" s="187"/>
      <c r="B686" s="212"/>
      <c r="C686" s="212"/>
      <c r="D686" s="587"/>
      <c r="E686" s="147"/>
      <c r="F686" s="54"/>
      <c r="G686" s="38"/>
      <c r="H686" s="39"/>
      <c r="I686" s="730" t="e">
        <f>H686/G686*100</f>
        <v>#DIV/0!</v>
      </c>
      <c r="J686" s="89"/>
      <c r="K686" s="25"/>
      <c r="L686" s="25"/>
      <c r="M686" s="25"/>
    </row>
    <row r="687" spans="1:13" ht="20.25" hidden="1" customHeight="1" x14ac:dyDescent="0.25">
      <c r="A687" s="206">
        <v>3117310</v>
      </c>
      <c r="B687" s="206">
        <v>7310</v>
      </c>
      <c r="C687" s="206"/>
      <c r="D687" s="588"/>
      <c r="E687" s="208">
        <f t="shared" ref="E687:H687" si="143">E688</f>
        <v>0</v>
      </c>
      <c r="F687" s="208">
        <f t="shared" si="143"/>
        <v>0</v>
      </c>
      <c r="G687" s="208">
        <f t="shared" si="143"/>
        <v>0</v>
      </c>
      <c r="H687" s="208" t="e">
        <f t="shared" si="143"/>
        <v>#REF!</v>
      </c>
      <c r="I687" s="730" t="e">
        <f>H687/G687*100</f>
        <v>#REF!</v>
      </c>
      <c r="J687" s="89"/>
      <c r="K687" s="25"/>
      <c r="L687" s="25"/>
      <c r="M687" s="25"/>
    </row>
    <row r="688" spans="1:13" ht="21.75" hidden="1" customHeight="1" x14ac:dyDescent="0.3">
      <c r="A688" s="211"/>
      <c r="B688" s="211"/>
      <c r="C688" s="211"/>
      <c r="D688" s="557" t="s">
        <v>14</v>
      </c>
      <c r="E688" s="292"/>
      <c r="F688" s="292">
        <f>SUM(F689:F691)</f>
        <v>0</v>
      </c>
      <c r="G688" s="292">
        <f>SUM(G689:G691)</f>
        <v>0</v>
      </c>
      <c r="H688" s="292" t="e">
        <f>SUM(H689:H691)</f>
        <v>#REF!</v>
      </c>
      <c r="I688" s="730" t="e">
        <f>H688/G688*100</f>
        <v>#REF!</v>
      </c>
      <c r="J688" s="89"/>
      <c r="K688" s="25"/>
      <c r="L688" s="25"/>
      <c r="M688" s="25"/>
    </row>
    <row r="689" spans="1:13" hidden="1" x14ac:dyDescent="0.25">
      <c r="A689" s="187"/>
      <c r="B689" s="212"/>
      <c r="C689" s="212"/>
      <c r="D689" s="591"/>
      <c r="E689" s="147"/>
      <c r="F689" s="54"/>
      <c r="G689" s="38"/>
      <c r="H689" s="39" t="e">
        <f>G689-#REF!</f>
        <v>#REF!</v>
      </c>
      <c r="I689" s="730" t="e">
        <f>H689/G689*100</f>
        <v>#REF!</v>
      </c>
      <c r="J689" s="89"/>
      <c r="K689" s="25"/>
      <c r="L689" s="25"/>
      <c r="M689" s="25"/>
    </row>
    <row r="690" spans="1:13" hidden="1" x14ac:dyDescent="0.25">
      <c r="A690" s="187"/>
      <c r="B690" s="212"/>
      <c r="C690" s="212"/>
      <c r="D690" s="616"/>
      <c r="E690" s="147"/>
      <c r="F690" s="54"/>
      <c r="G690" s="38"/>
      <c r="H690" s="39" t="e">
        <f>G690-#REF!</f>
        <v>#REF!</v>
      </c>
      <c r="I690" s="730" t="e">
        <f>H690/G690*100</f>
        <v>#REF!</v>
      </c>
      <c r="J690" s="89"/>
      <c r="K690" s="25"/>
      <c r="L690" s="25"/>
      <c r="M690" s="25"/>
    </row>
    <row r="691" spans="1:13" hidden="1" x14ac:dyDescent="0.25">
      <c r="A691" s="187"/>
      <c r="B691" s="212"/>
      <c r="C691" s="212"/>
      <c r="D691" s="620"/>
      <c r="E691" s="147"/>
      <c r="F691" s="54"/>
      <c r="G691" s="54"/>
      <c r="H691" s="39" t="e">
        <f>G691-#REF!</f>
        <v>#REF!</v>
      </c>
      <c r="I691" s="730" t="e">
        <f>H691/G691*100</f>
        <v>#REF!</v>
      </c>
      <c r="J691" s="89"/>
      <c r="K691" s="25"/>
      <c r="L691" s="25"/>
      <c r="M691" s="25"/>
    </row>
    <row r="692" spans="1:13" ht="17.25" hidden="1" customHeight="1" x14ac:dyDescent="0.25">
      <c r="A692" s="187"/>
      <c r="B692" s="212"/>
      <c r="C692" s="212"/>
      <c r="D692" s="587"/>
      <c r="E692" s="147"/>
      <c r="F692" s="54"/>
      <c r="G692" s="38"/>
      <c r="H692" s="39"/>
      <c r="I692" s="730" t="e">
        <f>H692/G692*100</f>
        <v>#DIV/0!</v>
      </c>
      <c r="J692" s="89"/>
      <c r="K692" s="25"/>
      <c r="L692" s="25"/>
      <c r="M692" s="25"/>
    </row>
    <row r="693" spans="1:13" ht="17.25" hidden="1" customHeight="1" x14ac:dyDescent="0.25">
      <c r="A693" s="206">
        <v>3117325</v>
      </c>
      <c r="B693" s="206">
        <v>7325</v>
      </c>
      <c r="C693" s="206"/>
      <c r="D693" s="588"/>
      <c r="E693" s="208">
        <f t="shared" ref="E693:H693" si="144">E694</f>
        <v>0</v>
      </c>
      <c r="F693" s="208">
        <f t="shared" si="144"/>
        <v>0</v>
      </c>
      <c r="G693" s="208">
        <f t="shared" si="144"/>
        <v>0</v>
      </c>
      <c r="H693" s="208" t="e">
        <f t="shared" si="144"/>
        <v>#REF!</v>
      </c>
      <c r="I693" s="730" t="e">
        <f>H693/G693*100</f>
        <v>#REF!</v>
      </c>
      <c r="J693" s="89"/>
      <c r="K693" s="25"/>
      <c r="L693" s="25"/>
      <c r="M693" s="25"/>
    </row>
    <row r="694" spans="1:13" ht="17.25" hidden="1" customHeight="1" x14ac:dyDescent="0.3">
      <c r="A694" s="211"/>
      <c r="B694" s="211"/>
      <c r="C694" s="211"/>
      <c r="D694" s="557" t="s">
        <v>14</v>
      </c>
      <c r="E694" s="292"/>
      <c r="F694" s="292">
        <f>SUM(F695)</f>
        <v>0</v>
      </c>
      <c r="G694" s="292">
        <f>SUM(G695)</f>
        <v>0</v>
      </c>
      <c r="H694" s="292" t="e">
        <f>SUM(H695)</f>
        <v>#REF!</v>
      </c>
      <c r="I694" s="730" t="e">
        <f>H694/G694*100</f>
        <v>#REF!</v>
      </c>
      <c r="J694" s="89"/>
      <c r="K694" s="25"/>
      <c r="L694" s="25"/>
      <c r="M694" s="25"/>
    </row>
    <row r="695" spans="1:13" ht="46.5" hidden="1" customHeight="1" x14ac:dyDescent="0.25">
      <c r="A695" s="187"/>
      <c r="B695" s="212"/>
      <c r="C695" s="212"/>
      <c r="D695" s="562"/>
      <c r="E695" s="147"/>
      <c r="F695" s="54"/>
      <c r="G695" s="54"/>
      <c r="H695" s="39" t="e">
        <f>G695-#REF!</f>
        <v>#REF!</v>
      </c>
      <c r="I695" s="730" t="e">
        <f>H695/G695*100</f>
        <v>#REF!</v>
      </c>
      <c r="J695" s="89"/>
      <c r="K695" s="25"/>
      <c r="L695" s="25"/>
      <c r="M695" s="25"/>
    </row>
    <row r="696" spans="1:13" ht="17.25" hidden="1" customHeight="1" x14ac:dyDescent="0.25">
      <c r="A696" s="187"/>
      <c r="B696" s="212"/>
      <c r="C696" s="212"/>
      <c r="D696" s="587"/>
      <c r="E696" s="147"/>
      <c r="F696" s="54"/>
      <c r="G696" s="38"/>
      <c r="H696" s="39"/>
      <c r="I696" s="730" t="e">
        <f>H696/G696*100</f>
        <v>#DIV/0!</v>
      </c>
      <c r="J696" s="89"/>
      <c r="K696" s="25"/>
      <c r="L696" s="25"/>
      <c r="M696" s="25"/>
    </row>
    <row r="697" spans="1:13" ht="17.25" hidden="1" customHeight="1" x14ac:dyDescent="0.25">
      <c r="A697" s="175" t="s">
        <v>104</v>
      </c>
      <c r="B697" s="206">
        <v>7370</v>
      </c>
      <c r="C697" s="216"/>
      <c r="D697" s="588"/>
      <c r="E697" s="122">
        <f>E702+E723</f>
        <v>0</v>
      </c>
      <c r="F697" s="122">
        <f>F698+F702</f>
        <v>0</v>
      </c>
      <c r="G697" s="122">
        <f>G698+G702</f>
        <v>0</v>
      </c>
      <c r="H697" s="122" t="e">
        <f>H698+H702</f>
        <v>#REF!</v>
      </c>
      <c r="I697" s="730" t="e">
        <f>H697/G697*100</f>
        <v>#REF!</v>
      </c>
      <c r="J697" s="89"/>
      <c r="K697" s="25"/>
      <c r="L697" s="25"/>
      <c r="M697" s="25"/>
    </row>
    <row r="698" spans="1:13" ht="17.25" hidden="1" customHeight="1" x14ac:dyDescent="0.3">
      <c r="A698" s="254"/>
      <c r="B698" s="211"/>
      <c r="C698" s="219"/>
      <c r="D698" s="557" t="s">
        <v>15</v>
      </c>
      <c r="E698" s="48">
        <f>SUM(E701:E711)</f>
        <v>0</v>
      </c>
      <c r="F698" s="48">
        <f>SUM(F699:F701)</f>
        <v>0</v>
      </c>
      <c r="G698" s="48">
        <f>SUM(G699:G701)</f>
        <v>0</v>
      </c>
      <c r="H698" s="48" t="e">
        <f>SUM(H699:H701)</f>
        <v>#REF!</v>
      </c>
      <c r="I698" s="730" t="e">
        <f>H698/G698*100</f>
        <v>#REF!</v>
      </c>
      <c r="J698" s="89"/>
      <c r="K698" s="25"/>
      <c r="L698" s="25"/>
      <c r="M698" s="25"/>
    </row>
    <row r="699" spans="1:13" hidden="1" x14ac:dyDescent="0.25">
      <c r="A699" s="179"/>
      <c r="B699" s="212"/>
      <c r="C699" s="238"/>
      <c r="D699" s="591"/>
      <c r="E699" s="314"/>
      <c r="F699" s="119"/>
      <c r="G699" s="119"/>
      <c r="H699" s="119" t="e">
        <f>G699-#REF!</f>
        <v>#REF!</v>
      </c>
      <c r="I699" s="730" t="e">
        <f>H699/G699*100</f>
        <v>#REF!</v>
      </c>
      <c r="J699" s="89"/>
      <c r="K699" s="25"/>
      <c r="L699" s="25"/>
      <c r="M699" s="25"/>
    </row>
    <row r="700" spans="1:13" hidden="1" x14ac:dyDescent="0.25">
      <c r="A700" s="179"/>
      <c r="B700" s="212"/>
      <c r="C700" s="238"/>
      <c r="D700" s="591"/>
      <c r="E700" s="314"/>
      <c r="F700" s="509"/>
      <c r="G700" s="119"/>
      <c r="H700" s="119" t="e">
        <f>G700-#REF!</f>
        <v>#REF!</v>
      </c>
      <c r="I700" s="730" t="e">
        <f>H700/G700*100</f>
        <v>#REF!</v>
      </c>
      <c r="J700" s="89"/>
      <c r="K700" s="25"/>
      <c r="L700" s="25"/>
      <c r="M700" s="25"/>
    </row>
    <row r="701" spans="1:13" ht="17.25" hidden="1" customHeight="1" x14ac:dyDescent="0.25">
      <c r="A701" s="179"/>
      <c r="B701" s="212"/>
      <c r="C701" s="238"/>
      <c r="D701" s="603"/>
      <c r="E701" s="314"/>
      <c r="F701" s="314"/>
      <c r="G701" s="314"/>
      <c r="H701" s="314"/>
      <c r="I701" s="730" t="e">
        <f>H701/G701*100</f>
        <v>#DIV/0!</v>
      </c>
      <c r="J701" s="89"/>
      <c r="K701" s="25"/>
      <c r="L701" s="25"/>
      <c r="M701" s="25"/>
    </row>
    <row r="702" spans="1:13" ht="17.25" hidden="1" customHeight="1" x14ac:dyDescent="0.3">
      <c r="A702" s="254"/>
      <c r="B702" s="211"/>
      <c r="C702" s="219"/>
      <c r="D702" s="557" t="s">
        <v>16</v>
      </c>
      <c r="E702" s="48">
        <f>SUM(E705:E716)</f>
        <v>0</v>
      </c>
      <c r="F702" s="48">
        <f>SUM(F703:F705)</f>
        <v>0</v>
      </c>
      <c r="G702" s="48">
        <f>SUM(G703:G705)</f>
        <v>0</v>
      </c>
      <c r="H702" s="48" t="e">
        <f>SUM(H703:H705)</f>
        <v>#REF!</v>
      </c>
      <c r="I702" s="730" t="e">
        <f>H702/G702*100</f>
        <v>#REF!</v>
      </c>
      <c r="J702" s="89"/>
      <c r="K702" s="25"/>
      <c r="L702" s="25"/>
      <c r="M702" s="25"/>
    </row>
    <row r="703" spans="1:13" ht="36.75" hidden="1" customHeight="1" x14ac:dyDescent="0.25">
      <c r="A703" s="179"/>
      <c r="B703" s="374"/>
      <c r="C703" s="238"/>
      <c r="D703" s="446"/>
      <c r="E703" s="316"/>
      <c r="F703" s="119"/>
      <c r="G703" s="119"/>
      <c r="H703" s="119" t="e">
        <f>G703-#REF!</f>
        <v>#REF!</v>
      </c>
      <c r="I703" s="730" t="e">
        <f>H703/G703*100</f>
        <v>#REF!</v>
      </c>
      <c r="J703" s="89"/>
      <c r="K703" s="25"/>
      <c r="L703" s="25"/>
      <c r="M703" s="25"/>
    </row>
    <row r="704" spans="1:13" hidden="1" x14ac:dyDescent="0.25">
      <c r="A704" s="179"/>
      <c r="B704" s="212"/>
      <c r="C704" s="238"/>
      <c r="D704" s="616"/>
      <c r="E704" s="316"/>
      <c r="F704" s="509"/>
      <c r="G704" s="119"/>
      <c r="H704" s="119" t="e">
        <f>G704-#REF!</f>
        <v>#REF!</v>
      </c>
      <c r="I704" s="730" t="e">
        <f>H704/G704*100</f>
        <v>#REF!</v>
      </c>
      <c r="J704" s="89"/>
      <c r="K704" s="25"/>
      <c r="L704" s="25"/>
      <c r="M704" s="25"/>
    </row>
    <row r="705" spans="1:16" ht="17.25" hidden="1" customHeight="1" x14ac:dyDescent="0.25">
      <c r="A705" s="187"/>
      <c r="B705" s="212"/>
      <c r="C705" s="212"/>
      <c r="D705" s="587"/>
      <c r="E705" s="147"/>
      <c r="F705" s="54"/>
      <c r="G705" s="38"/>
      <c r="H705" s="39"/>
      <c r="I705" s="730" t="e">
        <f>H705/G705*100</f>
        <v>#DIV/0!</v>
      </c>
      <c r="J705" s="89"/>
      <c r="K705" s="25"/>
      <c r="L705" s="25"/>
      <c r="M705" s="25"/>
    </row>
    <row r="706" spans="1:16" ht="17.25" hidden="1" customHeight="1" x14ac:dyDescent="0.25">
      <c r="A706" s="206">
        <v>3117670</v>
      </c>
      <c r="B706" s="205">
        <v>7670</v>
      </c>
      <c r="C706" s="206"/>
      <c r="D706" s="98"/>
      <c r="E706" s="340">
        <f t="shared" ref="E706:H706" si="145">E707</f>
        <v>0</v>
      </c>
      <c r="F706" s="341">
        <f t="shared" si="145"/>
        <v>0</v>
      </c>
      <c r="G706" s="341">
        <f t="shared" si="145"/>
        <v>0</v>
      </c>
      <c r="H706" s="341" t="e">
        <f t="shared" si="145"/>
        <v>#REF!</v>
      </c>
      <c r="I706" s="730" t="e">
        <f>H706/G706*100</f>
        <v>#REF!</v>
      </c>
      <c r="J706" s="89"/>
      <c r="K706" s="25"/>
      <c r="L706" s="25"/>
      <c r="M706" s="25"/>
    </row>
    <row r="707" spans="1:16" ht="17.25" hidden="1" customHeight="1" x14ac:dyDescent="0.3">
      <c r="A707" s="343"/>
      <c r="B707" s="167"/>
      <c r="C707" s="211"/>
      <c r="D707" s="557" t="s">
        <v>22</v>
      </c>
      <c r="E707" s="279">
        <f>SUM(E708:E710)</f>
        <v>0</v>
      </c>
      <c r="F707" s="279">
        <f>SUM(F708:F708)</f>
        <v>0</v>
      </c>
      <c r="G707" s="279">
        <f>SUM(G708:G708)</f>
        <v>0</v>
      </c>
      <c r="H707" s="279" t="e">
        <f>SUM(H708:H708)</f>
        <v>#REF!</v>
      </c>
      <c r="I707" s="730" t="e">
        <f>H707/G707*100</f>
        <v>#REF!</v>
      </c>
      <c r="J707" s="89"/>
      <c r="K707" s="25"/>
      <c r="L707" s="25"/>
      <c r="M707" s="25"/>
    </row>
    <row r="708" spans="1:16" ht="32.25" hidden="1" customHeight="1" x14ac:dyDescent="0.25">
      <c r="A708" s="187"/>
      <c r="B708" s="212"/>
      <c r="C708" s="212"/>
      <c r="D708" s="620"/>
      <c r="E708" s="147"/>
      <c r="F708" s="54"/>
      <c r="G708" s="38"/>
      <c r="H708" s="39" t="e">
        <f>G708-#REF!</f>
        <v>#REF!</v>
      </c>
      <c r="I708" s="730" t="e">
        <f>H708/G708*100</f>
        <v>#REF!</v>
      </c>
      <c r="J708" s="89"/>
      <c r="K708" s="25"/>
      <c r="L708" s="25"/>
      <c r="M708" s="25"/>
    </row>
    <row r="709" spans="1:16" ht="17.25" hidden="1" customHeight="1" x14ac:dyDescent="0.25">
      <c r="A709" s="187"/>
      <c r="B709" s="212"/>
      <c r="C709" s="212"/>
      <c r="D709" s="587"/>
      <c r="E709" s="147"/>
      <c r="F709" s="54"/>
      <c r="G709" s="38"/>
      <c r="H709" s="39"/>
      <c r="I709" s="730" t="e">
        <f>H709/G709*100</f>
        <v>#DIV/0!</v>
      </c>
      <c r="J709" s="89"/>
      <c r="K709" s="25"/>
      <c r="L709" s="25"/>
      <c r="M709" s="25"/>
    </row>
    <row r="710" spans="1:16" ht="24" hidden="1" customHeight="1" x14ac:dyDescent="0.25">
      <c r="A710" s="206">
        <v>3118311</v>
      </c>
      <c r="B710" s="206">
        <v>8311</v>
      </c>
      <c r="C710" s="206"/>
      <c r="D710" s="588"/>
      <c r="E710" s="208">
        <f>E711</f>
        <v>0</v>
      </c>
      <c r="F710" s="208">
        <f>F711+F714</f>
        <v>0</v>
      </c>
      <c r="G710" s="208">
        <f>G711+G714</f>
        <v>0</v>
      </c>
      <c r="H710" s="208" t="e">
        <f>H711+H714</f>
        <v>#REF!</v>
      </c>
      <c r="I710" s="730" t="e">
        <f>H710/G710*100</f>
        <v>#REF!</v>
      </c>
      <c r="J710" s="89"/>
      <c r="K710" s="25"/>
      <c r="L710" s="25"/>
      <c r="M710" s="25"/>
    </row>
    <row r="711" spans="1:16" ht="19.5" hidden="1" customHeight="1" x14ac:dyDescent="0.3">
      <c r="A711" s="211"/>
      <c r="B711" s="211"/>
      <c r="C711" s="211"/>
      <c r="D711" s="557" t="s">
        <v>14</v>
      </c>
      <c r="E711" s="292"/>
      <c r="F711" s="292">
        <f>SUM(F712)</f>
        <v>0</v>
      </c>
      <c r="G711" s="292">
        <f>SUM(G712)</f>
        <v>0</v>
      </c>
      <c r="H711" s="292" t="e">
        <f>SUM(H712)</f>
        <v>#REF!</v>
      </c>
      <c r="I711" s="730" t="e">
        <f>H711/G711*100</f>
        <v>#REF!</v>
      </c>
      <c r="J711" s="89"/>
      <c r="K711" s="25"/>
      <c r="L711" s="25"/>
      <c r="M711" s="25"/>
    </row>
    <row r="712" spans="1:16" hidden="1" x14ac:dyDescent="0.25">
      <c r="A712" s="212"/>
      <c r="B712" s="212"/>
      <c r="C712" s="212"/>
      <c r="D712" s="446"/>
      <c r="E712" s="119"/>
      <c r="F712" s="119"/>
      <c r="G712" s="119"/>
      <c r="H712" s="375" t="e">
        <f>G712-#REF!</f>
        <v>#REF!</v>
      </c>
      <c r="I712" s="730" t="e">
        <f>H712/G712*100</f>
        <v>#REF!</v>
      </c>
      <c r="J712" s="89"/>
      <c r="K712" s="25"/>
      <c r="L712" s="25"/>
      <c r="M712" s="25"/>
    </row>
    <row r="713" spans="1:16" ht="14.25" hidden="1" customHeight="1" x14ac:dyDescent="0.25">
      <c r="A713" s="212"/>
      <c r="B713" s="212"/>
      <c r="C713" s="212"/>
      <c r="D713" s="550"/>
      <c r="E713" s="39"/>
      <c r="F713" s="39"/>
      <c r="G713" s="39"/>
      <c r="H713" s="375" t="e">
        <f>G713-#REF!</f>
        <v>#REF!</v>
      </c>
      <c r="I713" s="730" t="e">
        <f>H713/G713*100</f>
        <v>#REF!</v>
      </c>
      <c r="J713" s="89"/>
      <c r="K713" s="25"/>
      <c r="L713" s="25"/>
      <c r="M713" s="25"/>
    </row>
    <row r="714" spans="1:16" ht="18" hidden="1" customHeight="1" x14ac:dyDescent="0.25">
      <c r="A714" s="211"/>
      <c r="B714" s="211"/>
      <c r="C714" s="211"/>
      <c r="D714" s="644" t="s">
        <v>16</v>
      </c>
      <c r="E714" s="63"/>
      <c r="F714" s="63">
        <f>SUM(F715)</f>
        <v>0</v>
      </c>
      <c r="G714" s="63">
        <f>SUM(G715)</f>
        <v>0</v>
      </c>
      <c r="H714" s="63" t="e">
        <f>SUM(H715)</f>
        <v>#REF!</v>
      </c>
      <c r="I714" s="730" t="e">
        <f>H714/G714*100</f>
        <v>#REF!</v>
      </c>
      <c r="J714" s="89"/>
      <c r="K714" s="25"/>
      <c r="L714" s="25"/>
      <c r="M714" s="25"/>
    </row>
    <row r="715" spans="1:16" hidden="1" x14ac:dyDescent="0.25">
      <c r="A715" s="212"/>
      <c r="B715" s="212"/>
      <c r="C715" s="212"/>
      <c r="D715" s="616"/>
      <c r="E715" s="39"/>
      <c r="F715" s="39"/>
      <c r="G715" s="39"/>
      <c r="H715" s="375" t="e">
        <f>G715-#REF!</f>
        <v>#REF!</v>
      </c>
      <c r="I715" s="730" t="e">
        <f>H715/G715*100</f>
        <v>#REF!</v>
      </c>
      <c r="J715" s="89"/>
      <c r="K715" s="25"/>
      <c r="L715" s="25"/>
      <c r="M715" s="25"/>
    </row>
    <row r="716" spans="1:16" ht="16.5" hidden="1" customHeight="1" x14ac:dyDescent="0.25">
      <c r="A716" s="377"/>
      <c r="B716" s="378"/>
      <c r="C716" s="379"/>
      <c r="D716" s="550"/>
      <c r="E716" s="39"/>
      <c r="F716" s="39"/>
      <c r="G716" s="39"/>
      <c r="H716" s="375" t="e">
        <f>G716-#REF!</f>
        <v>#REF!</v>
      </c>
      <c r="I716" s="730" t="e">
        <f>H716/G716*100</f>
        <v>#REF!</v>
      </c>
      <c r="J716" s="89"/>
      <c r="K716" s="25"/>
      <c r="L716" s="25"/>
      <c r="M716" s="25"/>
    </row>
    <row r="717" spans="1:16" ht="25.5" customHeight="1" x14ac:dyDescent="0.35">
      <c r="A717" s="345">
        <v>3710000</v>
      </c>
      <c r="B717" s="346"/>
      <c r="C717" s="347"/>
      <c r="D717" s="201" t="s">
        <v>106</v>
      </c>
      <c r="E717" s="202">
        <f t="shared" ref="E717:H717" si="146">E718+E721</f>
        <v>0</v>
      </c>
      <c r="F717" s="274">
        <f t="shared" si="146"/>
        <v>400000</v>
      </c>
      <c r="G717" s="274">
        <f t="shared" si="146"/>
        <v>400000</v>
      </c>
      <c r="H717" s="274">
        <f t="shared" si="146"/>
        <v>400000</v>
      </c>
      <c r="I717" s="735">
        <f>H717/G717*100</f>
        <v>100</v>
      </c>
      <c r="J717" s="89"/>
      <c r="K717" s="25"/>
      <c r="L717" s="25"/>
      <c r="M717" s="25"/>
    </row>
    <row r="718" spans="1:16" ht="24.75" customHeight="1" x14ac:dyDescent="0.3">
      <c r="A718" s="206">
        <v>3719770</v>
      </c>
      <c r="B718" s="175">
        <v>9770</v>
      </c>
      <c r="C718" s="206"/>
      <c r="D718" s="605" t="s">
        <v>57</v>
      </c>
      <c r="E718" s="348">
        <f t="shared" ref="E718" si="147">E720</f>
        <v>0</v>
      </c>
      <c r="F718" s="95">
        <f>F719</f>
        <v>400000</v>
      </c>
      <c r="G718" s="95">
        <f t="shared" ref="G718:H718" si="148">G719</f>
        <v>400000</v>
      </c>
      <c r="H718" s="95">
        <f t="shared" si="148"/>
        <v>400000</v>
      </c>
      <c r="I718" s="735">
        <f>H718/G718*100</f>
        <v>100</v>
      </c>
      <c r="J718" s="89"/>
      <c r="K718" s="25"/>
      <c r="L718" s="25"/>
      <c r="M718" s="25"/>
    </row>
    <row r="719" spans="1:16" s="500" customFormat="1" ht="24.75" customHeight="1" x14ac:dyDescent="0.25">
      <c r="A719" s="529"/>
      <c r="B719" s="530"/>
      <c r="C719" s="529"/>
      <c r="D719" s="672" t="s">
        <v>231</v>
      </c>
      <c r="E719" s="531"/>
      <c r="F719" s="532">
        <f>SUM(F720)</f>
        <v>400000</v>
      </c>
      <c r="G719" s="532">
        <f t="shared" ref="G719:H719" si="149">SUM(G720)</f>
        <v>400000</v>
      </c>
      <c r="H719" s="532">
        <f t="shared" si="149"/>
        <v>400000</v>
      </c>
      <c r="I719" s="735">
        <f>H719/G719*100</f>
        <v>100</v>
      </c>
      <c r="J719" s="89"/>
      <c r="K719" s="498"/>
      <c r="L719" s="498"/>
      <c r="M719" s="498"/>
      <c r="N719" s="499"/>
      <c r="O719" s="499"/>
      <c r="P719" s="499"/>
    </row>
    <row r="720" spans="1:16" ht="137.25" customHeight="1" x14ac:dyDescent="0.25">
      <c r="A720" s="187"/>
      <c r="B720" s="349"/>
      <c r="C720" s="238"/>
      <c r="D720" s="669" t="s">
        <v>232</v>
      </c>
      <c r="E720" s="333"/>
      <c r="F720" s="309">
        <f>400000</f>
        <v>400000</v>
      </c>
      <c r="G720" s="39">
        <f>400000</f>
        <v>400000</v>
      </c>
      <c r="H720" s="39">
        <f>400000</f>
        <v>400000</v>
      </c>
      <c r="I720" s="730">
        <f>H720/G720*100</f>
        <v>100</v>
      </c>
      <c r="J720" s="89"/>
      <c r="K720" s="25"/>
      <c r="L720" s="25"/>
      <c r="M720" s="25"/>
    </row>
    <row r="721" spans="1:13" ht="16.5" customHeight="1" x14ac:dyDescent="0.25">
      <c r="A721" s="377"/>
      <c r="B721" s="378"/>
      <c r="C721" s="379"/>
      <c r="D721" s="550"/>
      <c r="E721" s="39"/>
      <c r="F721" s="39"/>
      <c r="G721" s="39"/>
      <c r="H721" s="375"/>
      <c r="I721" s="730"/>
      <c r="J721" s="376"/>
      <c r="K721" s="25"/>
      <c r="L721" s="25"/>
      <c r="M721" s="25"/>
    </row>
    <row r="722" spans="1:13" ht="31.5" customHeight="1" x14ac:dyDescent="0.25">
      <c r="A722" s="352"/>
      <c r="B722" s="353"/>
      <c r="C722" s="775" t="s">
        <v>204</v>
      </c>
      <c r="D722" s="776"/>
      <c r="E722" s="353">
        <f>E662</f>
        <v>0</v>
      </c>
      <c r="F722" s="353">
        <f>F651+F662+F717</f>
        <v>1754999.87</v>
      </c>
      <c r="G722" s="353">
        <f>G651+G662+G717</f>
        <v>1754999.87</v>
      </c>
      <c r="H722" s="353">
        <f>H651+H717</f>
        <v>1754999.87</v>
      </c>
      <c r="I722" s="736">
        <f>H722/G722*100</f>
        <v>100</v>
      </c>
      <c r="J722" s="275"/>
      <c r="K722" s="25"/>
      <c r="L722" s="25"/>
      <c r="M722" s="25"/>
    </row>
    <row r="723" spans="1:13" ht="19.5" customHeight="1" x14ac:dyDescent="0.3">
      <c r="A723" s="362"/>
      <c r="B723" s="363"/>
      <c r="C723" s="364"/>
      <c r="D723" s="641"/>
      <c r="E723" s="364"/>
      <c r="F723" s="364"/>
      <c r="G723" s="364"/>
      <c r="H723" s="364"/>
      <c r="I723" s="364"/>
      <c r="J723" s="365"/>
      <c r="K723" s="25"/>
      <c r="L723" s="25"/>
      <c r="M723" s="25"/>
    </row>
    <row r="724" spans="1:13" ht="31.5" hidden="1" customHeight="1" x14ac:dyDescent="0.3">
      <c r="A724" s="362"/>
      <c r="B724" s="380" t="s">
        <v>111</v>
      </c>
      <c r="C724" s="380"/>
      <c r="D724" s="645"/>
      <c r="E724" s="380"/>
      <c r="F724" s="381"/>
      <c r="G724" s="380"/>
      <c r="H724" s="380"/>
      <c r="I724" s="24"/>
      <c r="J724" s="382"/>
      <c r="K724" s="25"/>
      <c r="L724" s="25"/>
      <c r="M724" s="25"/>
    </row>
    <row r="725" spans="1:13" ht="21.75" hidden="1" customHeight="1" x14ac:dyDescent="0.3">
      <c r="A725" s="362"/>
      <c r="B725" s="363"/>
      <c r="C725" s="364"/>
      <c r="D725" s="785" t="s">
        <v>112</v>
      </c>
      <c r="E725" s="785"/>
      <c r="F725" s="785"/>
      <c r="G725" s="785"/>
      <c r="H725" s="785"/>
      <c r="I725" s="24"/>
      <c r="J725" s="382"/>
      <c r="K725" s="25"/>
      <c r="L725" s="25"/>
      <c r="M725" s="25"/>
    </row>
    <row r="726" spans="1:13" ht="15.75" hidden="1" customHeight="1" x14ac:dyDescent="0.3">
      <c r="A726" s="362"/>
      <c r="B726" s="363"/>
      <c r="C726" s="364"/>
      <c r="D726" s="641"/>
      <c r="E726" s="364"/>
      <c r="F726" s="366"/>
      <c r="G726" s="364"/>
      <c r="H726" s="364"/>
      <c r="I726" s="24"/>
      <c r="J726" s="382"/>
      <c r="K726" s="25"/>
      <c r="L726" s="25"/>
      <c r="M726" s="25"/>
    </row>
    <row r="727" spans="1:13" ht="31.5" hidden="1" customHeight="1" x14ac:dyDescent="0.25">
      <c r="A727" s="765" t="s">
        <v>3</v>
      </c>
      <c r="B727" s="765" t="s">
        <v>4</v>
      </c>
      <c r="C727" s="765" t="s">
        <v>5</v>
      </c>
      <c r="D727" s="767" t="s">
        <v>6</v>
      </c>
      <c r="E727" s="763" t="s">
        <v>152</v>
      </c>
      <c r="F727" s="769" t="s">
        <v>153</v>
      </c>
      <c r="G727" s="769" t="s">
        <v>154</v>
      </c>
      <c r="H727" s="757" t="s">
        <v>7</v>
      </c>
      <c r="I727" s="758"/>
      <c r="J727" s="17"/>
      <c r="K727" s="25"/>
      <c r="L727" s="25"/>
      <c r="M727" s="25"/>
    </row>
    <row r="728" spans="1:13" ht="99.75" hidden="1" customHeight="1" x14ac:dyDescent="0.25">
      <c r="A728" s="766"/>
      <c r="B728" s="766"/>
      <c r="C728" s="766"/>
      <c r="D728" s="768"/>
      <c r="E728" s="764"/>
      <c r="F728" s="770"/>
      <c r="G728" s="770"/>
      <c r="H728" s="18" t="s">
        <v>155</v>
      </c>
      <c r="I728" s="2" t="s">
        <v>8</v>
      </c>
      <c r="J728" s="17"/>
      <c r="K728" s="25"/>
      <c r="L728" s="25"/>
      <c r="M728" s="25"/>
    </row>
    <row r="729" spans="1:13" ht="24" hidden="1" customHeight="1" x14ac:dyDescent="0.25">
      <c r="A729" s="19" t="s">
        <v>9</v>
      </c>
      <c r="B729" s="20"/>
      <c r="C729" s="20"/>
      <c r="D729" s="535" t="s">
        <v>10</v>
      </c>
      <c r="E729" s="22"/>
      <c r="F729" s="22">
        <f>F730+F734+F738</f>
        <v>0</v>
      </c>
      <c r="G729" s="22">
        <f>G730+G734+G738</f>
        <v>0</v>
      </c>
      <c r="H729" s="22" t="e">
        <f>H730+H734+H738</f>
        <v>#REF!</v>
      </c>
      <c r="I729" s="22" t="e">
        <f>I730+I734+I738</f>
        <v>#REF!</v>
      </c>
      <c r="J729" s="23"/>
      <c r="K729" s="25"/>
      <c r="L729" s="25"/>
      <c r="M729" s="25"/>
    </row>
    <row r="730" spans="1:13" ht="18" hidden="1" customHeight="1" x14ac:dyDescent="0.3">
      <c r="A730" s="26" t="s">
        <v>20</v>
      </c>
      <c r="B730" s="26">
        <v>2010</v>
      </c>
      <c r="C730" s="28"/>
      <c r="D730" s="536"/>
      <c r="E730" s="29"/>
      <c r="F730" s="29">
        <f>F731</f>
        <v>0</v>
      </c>
      <c r="G730" s="29">
        <f>G731</f>
        <v>0</v>
      </c>
      <c r="H730" s="29" t="e">
        <f>H731</f>
        <v>#REF!</v>
      </c>
      <c r="I730" s="29" t="e">
        <f>I731</f>
        <v>#REF!</v>
      </c>
      <c r="J730" s="30"/>
      <c r="K730" s="25"/>
      <c r="L730" s="25"/>
      <c r="M730" s="25"/>
    </row>
    <row r="731" spans="1:13" ht="21.75" hidden="1" customHeight="1" x14ac:dyDescent="0.3">
      <c r="A731" s="31"/>
      <c r="B731" s="32"/>
      <c r="C731" s="32"/>
      <c r="D731" s="537" t="s">
        <v>22</v>
      </c>
      <c r="E731" s="33"/>
      <c r="F731" s="33">
        <f>SUM(F732)</f>
        <v>0</v>
      </c>
      <c r="G731" s="33">
        <f>SUM(G732)</f>
        <v>0</v>
      </c>
      <c r="H731" s="33" t="e">
        <f>SUM(H732)</f>
        <v>#REF!</v>
      </c>
      <c r="I731" s="33" t="e">
        <f>SUM(I732)</f>
        <v>#REF!</v>
      </c>
      <c r="J731" s="34"/>
      <c r="K731" s="25"/>
      <c r="L731" s="25"/>
      <c r="M731" s="25"/>
    </row>
    <row r="732" spans="1:13" ht="51" hidden="1" customHeight="1" x14ac:dyDescent="0.25">
      <c r="A732" s="377"/>
      <c r="B732" s="377"/>
      <c r="C732" s="1"/>
      <c r="D732" s="579"/>
      <c r="E732" s="146"/>
      <c r="F732" s="147"/>
      <c r="G732" s="369"/>
      <c r="H732" s="54" t="e">
        <f>G732-#REF!</f>
        <v>#REF!</v>
      </c>
      <c r="I732" s="54" t="e">
        <f>F732-#REF!</f>
        <v>#REF!</v>
      </c>
      <c r="J732" s="89"/>
      <c r="K732" s="25"/>
      <c r="L732" s="25"/>
      <c r="M732" s="25"/>
    </row>
    <row r="733" spans="1:13" ht="12" hidden="1" customHeight="1" x14ac:dyDescent="0.25">
      <c r="A733" s="377"/>
      <c r="B733" s="377"/>
      <c r="C733" s="1"/>
      <c r="D733" s="642"/>
      <c r="E733" s="383"/>
      <c r="F733" s="3"/>
      <c r="G733" s="384"/>
      <c r="H733" s="18"/>
      <c r="I733" s="2"/>
      <c r="J733" s="17"/>
      <c r="K733" s="25"/>
      <c r="L733" s="25"/>
      <c r="M733" s="25"/>
    </row>
    <row r="734" spans="1:13" ht="17.25" hidden="1" customHeight="1" x14ac:dyDescent="0.25">
      <c r="A734" s="26" t="s">
        <v>42</v>
      </c>
      <c r="B734" s="175">
        <v>7325</v>
      </c>
      <c r="C734" s="97"/>
      <c r="D734" s="576"/>
      <c r="E734" s="70">
        <f t="shared" ref="E734:G735" si="150">E735</f>
        <v>0</v>
      </c>
      <c r="F734" s="70">
        <f t="shared" si="150"/>
        <v>0</v>
      </c>
      <c r="G734" s="70">
        <f t="shared" si="150"/>
        <v>0</v>
      </c>
      <c r="H734" s="95" t="e">
        <f>G734-#REF!</f>
        <v>#REF!</v>
      </c>
      <c r="I734" s="95" t="e">
        <f>F734-#REF!</f>
        <v>#REF!</v>
      </c>
      <c r="J734" s="64"/>
      <c r="K734" s="25"/>
      <c r="L734" s="25"/>
      <c r="M734" s="25"/>
    </row>
    <row r="735" spans="1:13" ht="17.25" hidden="1" customHeight="1" x14ac:dyDescent="0.25">
      <c r="A735" s="148"/>
      <c r="B735" s="32"/>
      <c r="C735" s="133"/>
      <c r="D735" s="542" t="s">
        <v>14</v>
      </c>
      <c r="E735" s="46">
        <f t="shared" si="150"/>
        <v>0</v>
      </c>
      <c r="F735" s="46">
        <f t="shared" si="150"/>
        <v>0</v>
      </c>
      <c r="G735" s="46">
        <f t="shared" si="150"/>
        <v>0</v>
      </c>
      <c r="H735" s="63" t="e">
        <f>G735-#REF!</f>
        <v>#REF!</v>
      </c>
      <c r="I735" s="63" t="e">
        <f>F735-#REF!</f>
        <v>#REF!</v>
      </c>
      <c r="J735" s="64"/>
      <c r="K735" s="25"/>
      <c r="L735" s="25"/>
      <c r="M735" s="25"/>
    </row>
    <row r="736" spans="1:13" ht="51" hidden="1" customHeight="1" x14ac:dyDescent="0.25">
      <c r="A736" s="377"/>
      <c r="B736" s="377"/>
      <c r="C736" s="368"/>
      <c r="D736" s="540"/>
      <c r="E736" s="383"/>
      <c r="F736" s="147"/>
      <c r="G736" s="369"/>
      <c r="H736" s="54" t="e">
        <f>G736-#REF!</f>
        <v>#REF!</v>
      </c>
      <c r="I736" s="54" t="e">
        <f>F736-#REF!</f>
        <v>#REF!</v>
      </c>
      <c r="J736" s="89"/>
      <c r="K736" s="25"/>
      <c r="L736" s="25"/>
      <c r="M736" s="25"/>
    </row>
    <row r="737" spans="1:16" ht="14.25" hidden="1" customHeight="1" x14ac:dyDescent="0.25">
      <c r="A737" s="377"/>
      <c r="B737" s="377"/>
      <c r="C737" s="368"/>
      <c r="D737" s="642"/>
      <c r="E737" s="383"/>
      <c r="F737" s="3"/>
      <c r="G737" s="384"/>
      <c r="H737" s="18"/>
      <c r="I737" s="2"/>
      <c r="J737" s="17"/>
      <c r="K737" s="25"/>
      <c r="L737" s="25"/>
      <c r="M737" s="25"/>
    </row>
    <row r="738" spans="1:16" ht="24" hidden="1" customHeight="1" x14ac:dyDescent="0.25">
      <c r="A738" s="26" t="s">
        <v>54</v>
      </c>
      <c r="B738" s="175">
        <v>8240</v>
      </c>
      <c r="C738" s="97"/>
      <c r="D738" s="576"/>
      <c r="E738" s="70">
        <f t="shared" ref="E738:G739" si="151">E739</f>
        <v>0</v>
      </c>
      <c r="F738" s="70">
        <f t="shared" si="151"/>
        <v>0</v>
      </c>
      <c r="G738" s="70">
        <f t="shared" si="151"/>
        <v>0</v>
      </c>
      <c r="H738" s="95" t="e">
        <f>G738-#REF!</f>
        <v>#REF!</v>
      </c>
      <c r="I738" s="95" t="e">
        <f>F738-#REF!</f>
        <v>#REF!</v>
      </c>
      <c r="J738" s="64"/>
      <c r="K738" s="25"/>
      <c r="L738" s="25"/>
      <c r="M738" s="25"/>
    </row>
    <row r="739" spans="1:16" ht="24" hidden="1" customHeight="1" x14ac:dyDescent="0.25">
      <c r="A739" s="148"/>
      <c r="B739" s="32"/>
      <c r="C739" s="133"/>
      <c r="D739" s="542" t="s">
        <v>13</v>
      </c>
      <c r="E739" s="46">
        <f t="shared" si="151"/>
        <v>0</v>
      </c>
      <c r="F739" s="46">
        <f t="shared" si="151"/>
        <v>0</v>
      </c>
      <c r="G739" s="46">
        <f t="shared" si="151"/>
        <v>0</v>
      </c>
      <c r="H739" s="63" t="e">
        <f>G739-#REF!</f>
        <v>#REF!</v>
      </c>
      <c r="I739" s="63" t="e">
        <f>F739-#REF!</f>
        <v>#REF!</v>
      </c>
      <c r="J739" s="64"/>
      <c r="K739" s="25"/>
      <c r="L739" s="25"/>
      <c r="M739" s="25"/>
    </row>
    <row r="740" spans="1:16" hidden="1" x14ac:dyDescent="0.25">
      <c r="A740" s="84"/>
      <c r="B740" s="77"/>
      <c r="C740" s="117"/>
      <c r="D740" s="579"/>
      <c r="E740" s="39"/>
      <c r="F740" s="39"/>
      <c r="G740" s="38"/>
      <c r="H740" s="39" t="e">
        <f>G740-#REF!</f>
        <v>#REF!</v>
      </c>
      <c r="I740" s="39" t="e">
        <f>F740-#REF!</f>
        <v>#REF!</v>
      </c>
      <c r="J740" s="89"/>
      <c r="K740" s="25"/>
      <c r="L740" s="25"/>
      <c r="M740" s="25"/>
    </row>
    <row r="741" spans="1:16" ht="12.75" hidden="1" customHeight="1" x14ac:dyDescent="0.25">
      <c r="A741" s="385"/>
      <c r="B741" s="77"/>
      <c r="C741" s="386"/>
      <c r="D741" s="579"/>
      <c r="E741" s="54"/>
      <c r="F741" s="54"/>
      <c r="G741" s="38"/>
      <c r="H741" s="39"/>
      <c r="I741" s="39"/>
      <c r="J741" s="89"/>
      <c r="K741" s="25"/>
      <c r="L741" s="25"/>
      <c r="M741" s="25"/>
    </row>
    <row r="742" spans="1:16" ht="24.75" hidden="1" customHeight="1" x14ac:dyDescent="0.25">
      <c r="A742" s="198" t="s">
        <v>58</v>
      </c>
      <c r="B742" s="199"/>
      <c r="C742" s="200"/>
      <c r="D742" s="201" t="s">
        <v>59</v>
      </c>
      <c r="E742" s="202">
        <f t="shared" ref="E742:I742" si="152">E743+E746</f>
        <v>0</v>
      </c>
      <c r="F742" s="202">
        <f t="shared" si="152"/>
        <v>0</v>
      </c>
      <c r="G742" s="274">
        <f t="shared" si="152"/>
        <v>0</v>
      </c>
      <c r="H742" s="274" t="e">
        <f t="shared" si="152"/>
        <v>#REF!</v>
      </c>
      <c r="I742" s="202" t="e">
        <f t="shared" si="152"/>
        <v>#REF!</v>
      </c>
      <c r="J742" s="203"/>
      <c r="K742" s="25"/>
      <c r="L742" s="25"/>
      <c r="M742" s="25"/>
    </row>
    <row r="743" spans="1:16" ht="31.5" hidden="1" customHeight="1" x14ac:dyDescent="0.25">
      <c r="A743" s="204" t="s">
        <v>62</v>
      </c>
      <c r="B743" s="204" t="s">
        <v>63</v>
      </c>
      <c r="C743" s="216"/>
      <c r="D743" s="71" t="s">
        <v>15</v>
      </c>
      <c r="E743" s="217">
        <f>E744+E746</f>
        <v>0</v>
      </c>
      <c r="F743" s="387">
        <f>F744</f>
        <v>0</v>
      </c>
      <c r="G743" s="217">
        <f>G744</f>
        <v>0</v>
      </c>
      <c r="H743" s="217" t="e">
        <f>H744</f>
        <v>#REF!</v>
      </c>
      <c r="I743" s="217" t="e">
        <f>I744</f>
        <v>#REF!</v>
      </c>
      <c r="J743" s="218"/>
      <c r="K743" s="25"/>
      <c r="L743" s="25"/>
      <c r="M743" s="25"/>
    </row>
    <row r="744" spans="1:16" ht="31.5" hidden="1" customHeight="1" x14ac:dyDescent="0.25">
      <c r="A744" s="56"/>
      <c r="B744" s="56"/>
      <c r="C744" s="56"/>
      <c r="D744" s="540"/>
      <c r="E744" s="43"/>
      <c r="F744" s="147"/>
      <c r="G744" s="54"/>
      <c r="H744" s="54" t="e">
        <f>G744-#REF!</f>
        <v>#REF!</v>
      </c>
      <c r="I744" s="296" t="e">
        <f>F744-#REF!</f>
        <v>#REF!</v>
      </c>
      <c r="J744" s="335"/>
      <c r="K744" s="25"/>
      <c r="L744" s="25"/>
      <c r="M744" s="25"/>
    </row>
    <row r="745" spans="1:16" ht="31.5" hidden="1" customHeight="1" x14ac:dyDescent="0.25">
      <c r="A745" s="56"/>
      <c r="B745" s="56"/>
      <c r="C745" s="56"/>
      <c r="D745" s="550"/>
      <c r="E745" s="43"/>
      <c r="F745" s="147"/>
      <c r="G745" s="388"/>
      <c r="H745" s="388"/>
      <c r="I745" s="389"/>
      <c r="J745" s="390"/>
      <c r="K745" s="25"/>
      <c r="L745" s="25"/>
      <c r="M745" s="25"/>
    </row>
    <row r="746" spans="1:16" ht="21" hidden="1" customHeight="1" x14ac:dyDescent="0.25">
      <c r="A746" s="245" t="s">
        <v>64</v>
      </c>
      <c r="B746" s="204">
        <v>1021</v>
      </c>
      <c r="C746" s="216"/>
      <c r="D746" s="71" t="s">
        <v>13</v>
      </c>
      <c r="E746" s="217">
        <f>E747+E828</f>
        <v>0</v>
      </c>
      <c r="F746" s="387">
        <f>F747</f>
        <v>0</v>
      </c>
      <c r="G746" s="217">
        <f>G747</f>
        <v>0</v>
      </c>
      <c r="H746" s="217" t="e">
        <f>H747</f>
        <v>#REF!</v>
      </c>
      <c r="I746" s="217" t="e">
        <f>I747</f>
        <v>#REF!</v>
      </c>
      <c r="J746" s="218"/>
      <c r="K746" s="25"/>
      <c r="L746" s="25"/>
      <c r="M746" s="25"/>
    </row>
    <row r="747" spans="1:16" ht="27" hidden="1" customHeight="1" x14ac:dyDescent="0.25">
      <c r="A747" s="56"/>
      <c r="B747" s="56"/>
      <c r="C747" s="56"/>
      <c r="D747" s="446"/>
      <c r="E747" s="43"/>
      <c r="F747" s="147"/>
      <c r="G747" s="54"/>
      <c r="H747" s="54" t="e">
        <f>G747-#REF!</f>
        <v>#REF!</v>
      </c>
      <c r="I747" s="296" t="e">
        <f>F747-#REF!</f>
        <v>#REF!</v>
      </c>
      <c r="J747" s="335"/>
      <c r="K747" s="25"/>
      <c r="L747" s="25"/>
      <c r="M747" s="25"/>
    </row>
    <row r="748" spans="1:16" ht="22.5" hidden="1" x14ac:dyDescent="0.25">
      <c r="A748" s="283" t="s">
        <v>87</v>
      </c>
      <c r="B748" s="199"/>
      <c r="C748" s="370"/>
      <c r="D748" s="286" t="s">
        <v>88</v>
      </c>
      <c r="E748" s="371">
        <f>E749+E796+E867+E885+E899+E916+E920+E924</f>
        <v>0</v>
      </c>
      <c r="F748" s="372">
        <f>F756+F787+F796+F791</f>
        <v>0</v>
      </c>
      <c r="G748" s="372">
        <f t="shared" ref="G748:I748" si="153">G756+G787+G796+G791</f>
        <v>0</v>
      </c>
      <c r="H748" s="372" t="e">
        <f t="shared" si="153"/>
        <v>#REF!</v>
      </c>
      <c r="I748" s="372" t="e">
        <f t="shared" si="153"/>
        <v>#REF!</v>
      </c>
      <c r="J748" s="373"/>
      <c r="K748" s="139"/>
      <c r="L748" s="139"/>
      <c r="M748" s="139"/>
      <c r="N748" s="140"/>
      <c r="O748" s="140"/>
      <c r="P748" s="140"/>
    </row>
    <row r="749" spans="1:16" s="141" customFormat="1" ht="21.75" hidden="1" customHeight="1" x14ac:dyDescent="0.3">
      <c r="A749" s="206">
        <v>3110160</v>
      </c>
      <c r="B749" s="175" t="s">
        <v>61</v>
      </c>
      <c r="C749" s="206"/>
      <c r="D749" s="558"/>
      <c r="E749" s="27">
        <f t="shared" ref="E749:I749" si="154">E750+E752</f>
        <v>0</v>
      </c>
      <c r="F749" s="208">
        <f t="shared" si="154"/>
        <v>0</v>
      </c>
      <c r="G749" s="208">
        <f t="shared" si="154"/>
        <v>0</v>
      </c>
      <c r="H749" s="208" t="e">
        <f t="shared" si="154"/>
        <v>#REF!</v>
      </c>
      <c r="I749" s="27" t="e">
        <f t="shared" si="154"/>
        <v>#REF!</v>
      </c>
      <c r="J749" s="209"/>
      <c r="K749" s="139"/>
      <c r="L749" s="139"/>
      <c r="M749" s="139"/>
      <c r="N749" s="140"/>
      <c r="O749" s="140"/>
      <c r="P749" s="140"/>
    </row>
    <row r="750" spans="1:16" s="141" customFormat="1" ht="21.75" hidden="1" customHeight="1" x14ac:dyDescent="0.3">
      <c r="A750" s="211"/>
      <c r="B750" s="290"/>
      <c r="C750" s="211"/>
      <c r="D750" s="557" t="s">
        <v>13</v>
      </c>
      <c r="E750" s="106">
        <f t="shared" ref="E750:I750" si="155">SUM(E751)</f>
        <v>0</v>
      </c>
      <c r="F750" s="63">
        <f t="shared" si="155"/>
        <v>0</v>
      </c>
      <c r="G750" s="63">
        <f t="shared" si="155"/>
        <v>0</v>
      </c>
      <c r="H750" s="63" t="e">
        <f t="shared" si="155"/>
        <v>#REF!</v>
      </c>
      <c r="I750" s="106" t="e">
        <f t="shared" si="155"/>
        <v>#REF!</v>
      </c>
      <c r="J750" s="107"/>
      <c r="K750" s="139"/>
      <c r="L750" s="139"/>
      <c r="M750" s="139"/>
      <c r="N750" s="140"/>
      <c r="O750" s="140"/>
      <c r="P750" s="140"/>
    </row>
    <row r="751" spans="1:16" s="141" customFormat="1" ht="21.75" hidden="1" customHeight="1" x14ac:dyDescent="0.25">
      <c r="A751" s="187"/>
      <c r="B751" s="177"/>
      <c r="C751" s="212">
        <v>3110</v>
      </c>
      <c r="D751" s="540"/>
      <c r="E751" s="54"/>
      <c r="F751" s="38"/>
      <c r="G751" s="38"/>
      <c r="H751" s="39" t="e">
        <f>G751-#REF!</f>
        <v>#REF!</v>
      </c>
      <c r="I751" s="39" t="e">
        <f>F751-#REF!</f>
        <v>#REF!</v>
      </c>
      <c r="J751" s="89"/>
      <c r="K751" s="139"/>
      <c r="L751" s="139"/>
      <c r="M751" s="139"/>
      <c r="N751" s="140"/>
      <c r="O751" s="140"/>
      <c r="P751" s="140"/>
    </row>
    <row r="752" spans="1:16" s="141" customFormat="1" ht="21.75" hidden="1" customHeight="1" x14ac:dyDescent="0.3">
      <c r="A752" s="185"/>
      <c r="B752" s="167"/>
      <c r="C752" s="211"/>
      <c r="D752" s="557" t="s">
        <v>15</v>
      </c>
      <c r="E752" s="63">
        <f t="shared" ref="E752:I752" si="156">SUM(E753:E754)</f>
        <v>0</v>
      </c>
      <c r="F752" s="63">
        <f t="shared" si="156"/>
        <v>0</v>
      </c>
      <c r="G752" s="63">
        <f t="shared" si="156"/>
        <v>0</v>
      </c>
      <c r="H752" s="63" t="e">
        <f t="shared" si="156"/>
        <v>#REF!</v>
      </c>
      <c r="I752" s="63" t="e">
        <f t="shared" si="156"/>
        <v>#REF!</v>
      </c>
      <c r="J752" s="64"/>
      <c r="K752" s="139"/>
      <c r="L752" s="139"/>
      <c r="M752" s="139"/>
      <c r="N752" s="140"/>
      <c r="O752" s="140"/>
      <c r="P752" s="140"/>
    </row>
    <row r="753" spans="1:16" s="141" customFormat="1" ht="21.75" hidden="1" customHeight="1" x14ac:dyDescent="0.25">
      <c r="A753" s="187"/>
      <c r="B753" s="212"/>
      <c r="C753" s="212">
        <v>3132</v>
      </c>
      <c r="D753" s="603"/>
      <c r="E753" s="147"/>
      <c r="F753" s="54"/>
      <c r="G753" s="38"/>
      <c r="H753" s="39" t="e">
        <f>G753-#REF!</f>
        <v>#REF!</v>
      </c>
      <c r="I753" s="39" t="e">
        <f>F753-#REF!</f>
        <v>#REF!</v>
      </c>
      <c r="J753" s="89"/>
      <c r="K753" s="139"/>
      <c r="L753" s="139"/>
      <c r="M753" s="139"/>
      <c r="N753" s="140"/>
      <c r="O753" s="140"/>
      <c r="P753" s="140"/>
    </row>
    <row r="754" spans="1:16" s="141" customFormat="1" ht="20.25" hidden="1" customHeight="1" x14ac:dyDescent="0.25">
      <c r="A754" s="187"/>
      <c r="B754" s="212"/>
      <c r="C754" s="212"/>
      <c r="D754" s="587"/>
      <c r="E754" s="147"/>
      <c r="F754" s="54"/>
      <c r="G754" s="38"/>
      <c r="H754" s="39" t="e">
        <f>G754-#REF!</f>
        <v>#REF!</v>
      </c>
      <c r="I754" s="39" t="e">
        <f>F754-#REF!</f>
        <v>#REF!</v>
      </c>
      <c r="J754" s="89"/>
      <c r="K754" s="139"/>
      <c r="L754" s="139"/>
      <c r="M754" s="139"/>
      <c r="N754" s="140"/>
      <c r="O754" s="140"/>
      <c r="P754" s="140"/>
    </row>
    <row r="755" spans="1:16" s="141" customFormat="1" ht="20.25" hidden="1" customHeight="1" x14ac:dyDescent="0.25">
      <c r="A755" s="187"/>
      <c r="B755" s="212"/>
      <c r="C755" s="212"/>
      <c r="D755" s="587"/>
      <c r="E755" s="147"/>
      <c r="F755" s="54"/>
      <c r="G755" s="38"/>
      <c r="H755" s="39"/>
      <c r="I755" s="39"/>
      <c r="J755" s="89"/>
      <c r="K755" s="139"/>
      <c r="L755" s="139"/>
      <c r="M755" s="139"/>
      <c r="N755" s="140"/>
      <c r="O755" s="140"/>
      <c r="P755" s="140"/>
    </row>
    <row r="756" spans="1:16" s="141" customFormat="1" ht="20.25" hidden="1" customHeight="1" x14ac:dyDescent="0.25">
      <c r="A756" s="206">
        <v>3116030</v>
      </c>
      <c r="B756" s="206">
        <v>6030</v>
      </c>
      <c r="C756" s="206"/>
      <c r="D756" s="588"/>
      <c r="E756" s="208"/>
      <c r="F756" s="208">
        <f>F757</f>
        <v>0</v>
      </c>
      <c r="G756" s="208">
        <f>G757</f>
        <v>0</v>
      </c>
      <c r="H756" s="208" t="e">
        <f>H757</f>
        <v>#REF!</v>
      </c>
      <c r="I756" s="208" t="e">
        <f>I757</f>
        <v>#REF!</v>
      </c>
      <c r="J756" s="275"/>
      <c r="K756" s="139"/>
      <c r="L756" s="139"/>
      <c r="M756" s="139"/>
      <c r="N756" s="140"/>
      <c r="O756" s="140"/>
      <c r="P756" s="140"/>
    </row>
    <row r="757" spans="1:16" s="141" customFormat="1" ht="20.25" hidden="1" customHeight="1" x14ac:dyDescent="0.3">
      <c r="A757" s="211"/>
      <c r="B757" s="211"/>
      <c r="C757" s="211"/>
      <c r="D757" s="557" t="s">
        <v>15</v>
      </c>
      <c r="E757" s="292"/>
      <c r="F757" s="63">
        <f>F758+F779+F783</f>
        <v>0</v>
      </c>
      <c r="G757" s="63">
        <f>G758+G779+G783</f>
        <v>0</v>
      </c>
      <c r="H757" s="63" t="e">
        <f>H758+H779+H783</f>
        <v>#REF!</v>
      </c>
      <c r="I757" s="63" t="e">
        <f>I758+I779+I783</f>
        <v>#REF!</v>
      </c>
      <c r="J757" s="275"/>
      <c r="K757" s="139"/>
      <c r="L757" s="139"/>
      <c r="M757" s="139"/>
      <c r="N757" s="140"/>
      <c r="O757" s="140"/>
      <c r="P757" s="140"/>
    </row>
    <row r="758" spans="1:16" s="141" customFormat="1" ht="20.25" hidden="1" customHeight="1" x14ac:dyDescent="0.25">
      <c r="A758" s="489"/>
      <c r="B758" s="212">
        <v>3116030</v>
      </c>
      <c r="C758" s="212">
        <v>3132</v>
      </c>
      <c r="D758" s="646" t="s">
        <v>89</v>
      </c>
      <c r="E758" s="490"/>
      <c r="F758" s="491">
        <f>SUM(F759:F777)</f>
        <v>0</v>
      </c>
      <c r="G758" s="491">
        <f t="shared" ref="G758:I758" si="157">SUM(G759:G777)</f>
        <v>0</v>
      </c>
      <c r="H758" s="491">
        <f t="shared" si="157"/>
        <v>0</v>
      </c>
      <c r="I758" s="491" t="e">
        <f t="shared" si="157"/>
        <v>#REF!</v>
      </c>
      <c r="J758" s="275"/>
      <c r="K758" s="139"/>
      <c r="L758" s="139"/>
      <c r="M758" s="139"/>
      <c r="N758" s="140"/>
      <c r="O758" s="140"/>
      <c r="P758" s="140"/>
    </row>
    <row r="759" spans="1:16" s="141" customFormat="1" ht="36" hidden="1" customHeight="1" x14ac:dyDescent="0.25">
      <c r="A759" s="489"/>
      <c r="B759" s="489"/>
      <c r="C759" s="489"/>
      <c r="D759" s="596"/>
      <c r="E759" s="490"/>
      <c r="F759" s="502"/>
      <c r="G759" s="492"/>
      <c r="H759" s="492"/>
      <c r="I759" s="492" t="e">
        <f>F759-#REF!</f>
        <v>#REF!</v>
      </c>
      <c r="J759" s="275"/>
      <c r="K759" s="139"/>
      <c r="L759" s="139"/>
      <c r="M759" s="139"/>
      <c r="N759" s="140"/>
      <c r="O759" s="140"/>
      <c r="P759" s="140"/>
    </row>
    <row r="760" spans="1:16" s="141" customFormat="1" ht="36" hidden="1" customHeight="1" x14ac:dyDescent="0.25">
      <c r="A760" s="489"/>
      <c r="B760" s="489"/>
      <c r="C760" s="489"/>
      <c r="D760" s="596"/>
      <c r="E760" s="490"/>
      <c r="F760" s="502"/>
      <c r="G760" s="502"/>
      <c r="H760" s="492"/>
      <c r="I760" s="492" t="e">
        <f>F760-#REF!</f>
        <v>#REF!</v>
      </c>
      <c r="J760" s="275"/>
      <c r="K760" s="139"/>
      <c r="L760" s="139"/>
      <c r="M760" s="139"/>
      <c r="N760" s="140"/>
      <c r="O760" s="140"/>
      <c r="P760" s="140"/>
    </row>
    <row r="761" spans="1:16" s="141" customFormat="1" ht="36" hidden="1" customHeight="1" x14ac:dyDescent="0.25">
      <c r="A761" s="489"/>
      <c r="B761" s="489"/>
      <c r="C761" s="489"/>
      <c r="D761" s="596"/>
      <c r="E761" s="490"/>
      <c r="F761" s="502"/>
      <c r="G761" s="502"/>
      <c r="H761" s="492"/>
      <c r="I761" s="492" t="e">
        <f>F761-#REF!</f>
        <v>#REF!</v>
      </c>
      <c r="J761" s="275"/>
      <c r="K761" s="139"/>
      <c r="L761" s="139"/>
      <c r="M761" s="139"/>
      <c r="N761" s="140"/>
      <c r="O761" s="140"/>
      <c r="P761" s="140"/>
    </row>
    <row r="762" spans="1:16" s="141" customFormat="1" ht="36" hidden="1" customHeight="1" x14ac:dyDescent="0.25">
      <c r="A762" s="489"/>
      <c r="B762" s="489"/>
      <c r="C762" s="489"/>
      <c r="D762" s="596"/>
      <c r="E762" s="490"/>
      <c r="F762" s="502"/>
      <c r="G762" s="502"/>
      <c r="H762" s="492"/>
      <c r="I762" s="492" t="e">
        <f>F762-#REF!</f>
        <v>#REF!</v>
      </c>
      <c r="J762" s="275"/>
      <c r="K762" s="139"/>
      <c r="L762" s="139"/>
      <c r="M762" s="139"/>
      <c r="N762" s="140"/>
      <c r="O762" s="140"/>
      <c r="P762" s="140"/>
    </row>
    <row r="763" spans="1:16" s="141" customFormat="1" ht="49.5" hidden="1" customHeight="1" x14ac:dyDescent="0.25">
      <c r="A763" s="489"/>
      <c r="B763" s="489"/>
      <c r="C763" s="489"/>
      <c r="D763" s="596"/>
      <c r="E763" s="490"/>
      <c r="F763" s="502"/>
      <c r="G763" s="502"/>
      <c r="H763" s="492"/>
      <c r="I763" s="492" t="e">
        <f>F763-#REF!</f>
        <v>#REF!</v>
      </c>
      <c r="J763" s="275"/>
      <c r="K763" s="139"/>
      <c r="L763" s="139"/>
      <c r="M763" s="139"/>
      <c r="N763" s="140"/>
      <c r="O763" s="140"/>
      <c r="P763" s="140"/>
    </row>
    <row r="764" spans="1:16" s="141" customFormat="1" ht="36" hidden="1" customHeight="1" x14ac:dyDescent="0.25">
      <c r="A764" s="489"/>
      <c r="B764" s="489"/>
      <c r="C764" s="489"/>
      <c r="D764" s="596"/>
      <c r="E764" s="490"/>
      <c r="F764" s="502"/>
      <c r="G764" s="502"/>
      <c r="H764" s="492"/>
      <c r="I764" s="492" t="e">
        <f>F764-#REF!</f>
        <v>#REF!</v>
      </c>
      <c r="J764" s="275"/>
      <c r="K764" s="139"/>
      <c r="L764" s="139"/>
      <c r="M764" s="139"/>
      <c r="N764" s="140"/>
      <c r="O764" s="140"/>
      <c r="P764" s="140"/>
    </row>
    <row r="765" spans="1:16" s="141" customFormat="1" ht="36" hidden="1" customHeight="1" x14ac:dyDescent="0.25">
      <c r="A765" s="489"/>
      <c r="B765" s="489"/>
      <c r="C765" s="489"/>
      <c r="D765" s="596"/>
      <c r="E765" s="490"/>
      <c r="F765" s="502"/>
      <c r="G765" s="502"/>
      <c r="H765" s="492"/>
      <c r="I765" s="492" t="e">
        <f>F765-#REF!</f>
        <v>#REF!</v>
      </c>
      <c r="J765" s="275"/>
      <c r="K765" s="139"/>
      <c r="L765" s="139"/>
      <c r="M765" s="139"/>
      <c r="N765" s="140"/>
      <c r="O765" s="140"/>
      <c r="P765" s="140"/>
    </row>
    <row r="766" spans="1:16" s="141" customFormat="1" ht="36" hidden="1" customHeight="1" x14ac:dyDescent="0.25">
      <c r="A766" s="489"/>
      <c r="B766" s="489"/>
      <c r="C766" s="489"/>
      <c r="D766" s="596"/>
      <c r="E766" s="490"/>
      <c r="F766" s="502"/>
      <c r="G766" s="502"/>
      <c r="H766" s="492"/>
      <c r="I766" s="492" t="e">
        <f>F766-#REF!</f>
        <v>#REF!</v>
      </c>
      <c r="J766" s="275"/>
      <c r="K766" s="139"/>
      <c r="L766" s="139"/>
      <c r="M766" s="139"/>
      <c r="N766" s="140"/>
      <c r="O766" s="140"/>
      <c r="P766" s="140"/>
    </row>
    <row r="767" spans="1:16" s="141" customFormat="1" ht="36" hidden="1" customHeight="1" x14ac:dyDescent="0.25">
      <c r="A767" s="489"/>
      <c r="B767" s="489"/>
      <c r="C767" s="489"/>
      <c r="D767" s="612"/>
      <c r="E767" s="490"/>
      <c r="F767" s="502"/>
      <c r="G767" s="502"/>
      <c r="H767" s="492"/>
      <c r="I767" s="492" t="e">
        <f>F767-#REF!</f>
        <v>#REF!</v>
      </c>
      <c r="J767" s="275"/>
      <c r="K767" s="139"/>
      <c r="L767" s="139"/>
      <c r="M767" s="139"/>
      <c r="N767" s="140"/>
      <c r="O767" s="140"/>
      <c r="P767" s="140"/>
    </row>
    <row r="768" spans="1:16" s="141" customFormat="1" ht="67.5" hidden="1" customHeight="1" x14ac:dyDescent="0.25">
      <c r="A768" s="489"/>
      <c r="B768" s="489"/>
      <c r="C768" s="489"/>
      <c r="D768" s="596"/>
      <c r="E768" s="490"/>
      <c r="F768" s="502"/>
      <c r="G768" s="502"/>
      <c r="H768" s="492"/>
      <c r="I768" s="492" t="e">
        <f>F768-#REF!</f>
        <v>#REF!</v>
      </c>
      <c r="J768" s="275"/>
      <c r="K768" s="139"/>
      <c r="L768" s="139"/>
      <c r="M768" s="139"/>
      <c r="N768" s="140"/>
      <c r="O768" s="140"/>
      <c r="P768" s="140"/>
    </row>
    <row r="769" spans="1:16" s="141" customFormat="1" ht="36" hidden="1" customHeight="1" x14ac:dyDescent="0.25">
      <c r="A769" s="489"/>
      <c r="B769" s="489"/>
      <c r="C769" s="489"/>
      <c r="D769" s="596"/>
      <c r="E769" s="490"/>
      <c r="F769" s="502"/>
      <c r="G769" s="502"/>
      <c r="H769" s="492"/>
      <c r="I769" s="492" t="e">
        <f>F769-#REF!</f>
        <v>#REF!</v>
      </c>
      <c r="J769" s="275"/>
      <c r="K769" s="139"/>
      <c r="L769" s="139"/>
      <c r="M769" s="139"/>
      <c r="N769" s="140"/>
      <c r="O769" s="140"/>
      <c r="P769" s="140"/>
    </row>
    <row r="770" spans="1:16" s="141" customFormat="1" ht="36" hidden="1" customHeight="1" x14ac:dyDescent="0.25">
      <c r="A770" s="489"/>
      <c r="B770" s="489"/>
      <c r="C770" s="489"/>
      <c r="D770" s="596"/>
      <c r="E770" s="490"/>
      <c r="F770" s="502"/>
      <c r="G770" s="502"/>
      <c r="H770" s="492"/>
      <c r="I770" s="492" t="e">
        <f>F770-#REF!</f>
        <v>#REF!</v>
      </c>
      <c r="J770" s="275"/>
      <c r="K770" s="139"/>
      <c r="L770" s="139"/>
      <c r="M770" s="139"/>
      <c r="N770" s="140"/>
      <c r="O770" s="140"/>
      <c r="P770" s="140"/>
    </row>
    <row r="771" spans="1:16" s="141" customFormat="1" ht="36" hidden="1" customHeight="1" x14ac:dyDescent="0.25">
      <c r="A771" s="489"/>
      <c r="B771" s="489"/>
      <c r="C771" s="489"/>
      <c r="D771" s="596"/>
      <c r="E771" s="490"/>
      <c r="F771" s="502"/>
      <c r="G771" s="502"/>
      <c r="H771" s="492"/>
      <c r="I771" s="492" t="e">
        <f>F771-#REF!</f>
        <v>#REF!</v>
      </c>
      <c r="J771" s="275"/>
      <c r="K771" s="139"/>
      <c r="L771" s="139"/>
      <c r="M771" s="139"/>
      <c r="N771" s="140"/>
      <c r="O771" s="140"/>
      <c r="P771" s="140"/>
    </row>
    <row r="772" spans="1:16" s="141" customFormat="1" ht="36" hidden="1" customHeight="1" x14ac:dyDescent="0.25">
      <c r="A772" s="489"/>
      <c r="B772" s="489"/>
      <c r="C772" s="489"/>
      <c r="D772" s="596"/>
      <c r="E772" s="490"/>
      <c r="F772" s="502"/>
      <c r="G772" s="502"/>
      <c r="H772" s="492"/>
      <c r="I772" s="492" t="e">
        <f>F772-#REF!</f>
        <v>#REF!</v>
      </c>
      <c r="J772" s="275"/>
      <c r="K772" s="139"/>
      <c r="L772" s="139"/>
      <c r="M772" s="139"/>
      <c r="N772" s="140"/>
      <c r="O772" s="140"/>
      <c r="P772" s="140"/>
    </row>
    <row r="773" spans="1:16" s="141" customFormat="1" ht="36" hidden="1" customHeight="1" x14ac:dyDescent="0.25">
      <c r="A773" s="489"/>
      <c r="B773" s="489"/>
      <c r="C773" s="489"/>
      <c r="D773" s="596"/>
      <c r="E773" s="490"/>
      <c r="F773" s="502"/>
      <c r="G773" s="502"/>
      <c r="H773" s="492"/>
      <c r="I773" s="492" t="e">
        <f>F773-#REF!</f>
        <v>#REF!</v>
      </c>
      <c r="J773" s="275"/>
      <c r="K773" s="139"/>
      <c r="L773" s="139"/>
      <c r="M773" s="139"/>
      <c r="N773" s="140"/>
      <c r="O773" s="140"/>
      <c r="P773" s="140"/>
    </row>
    <row r="774" spans="1:16" s="141" customFormat="1" ht="36" hidden="1" customHeight="1" x14ac:dyDescent="0.25">
      <c r="A774" s="489"/>
      <c r="B774" s="489"/>
      <c r="C774" s="489"/>
      <c r="D774" s="596"/>
      <c r="E774" s="490"/>
      <c r="F774" s="502"/>
      <c r="G774" s="502"/>
      <c r="H774" s="492"/>
      <c r="I774" s="492" t="e">
        <f>F774-#REF!</f>
        <v>#REF!</v>
      </c>
      <c r="J774" s="275"/>
      <c r="K774" s="139"/>
      <c r="L774" s="139"/>
      <c r="M774" s="139"/>
      <c r="N774" s="140"/>
      <c r="O774" s="140"/>
      <c r="P774" s="140"/>
    </row>
    <row r="775" spans="1:16" s="141" customFormat="1" ht="36" hidden="1" customHeight="1" x14ac:dyDescent="0.25">
      <c r="A775" s="489"/>
      <c r="B775" s="489"/>
      <c r="C775" s="489"/>
      <c r="D775" s="596"/>
      <c r="E775" s="490"/>
      <c r="F775" s="502"/>
      <c r="G775" s="502"/>
      <c r="H775" s="492"/>
      <c r="I775" s="492" t="e">
        <f>F775-#REF!</f>
        <v>#REF!</v>
      </c>
      <c r="J775" s="275"/>
      <c r="K775" s="139"/>
      <c r="L775" s="139"/>
      <c r="M775" s="139"/>
      <c r="N775" s="140"/>
      <c r="O775" s="140"/>
      <c r="P775" s="140"/>
    </row>
    <row r="776" spans="1:16" s="141" customFormat="1" ht="36" hidden="1" customHeight="1" x14ac:dyDescent="0.25">
      <c r="A776" s="489"/>
      <c r="B776" s="489"/>
      <c r="C776" s="489"/>
      <c r="D776" s="596"/>
      <c r="E776" s="490"/>
      <c r="F776" s="502"/>
      <c r="G776" s="502"/>
      <c r="H776" s="492"/>
      <c r="I776" s="492" t="e">
        <f>F776-#REF!</f>
        <v>#REF!</v>
      </c>
      <c r="J776" s="275"/>
      <c r="K776" s="139"/>
      <c r="L776" s="139"/>
      <c r="M776" s="139"/>
      <c r="N776" s="140"/>
      <c r="O776" s="140"/>
      <c r="P776" s="140"/>
    </row>
    <row r="777" spans="1:16" s="141" customFormat="1" ht="36" hidden="1" customHeight="1" x14ac:dyDescent="0.25">
      <c r="A777" s="489"/>
      <c r="B777" s="489"/>
      <c r="C777" s="489"/>
      <c r="D777" s="596"/>
      <c r="E777" s="490"/>
      <c r="F777" s="502"/>
      <c r="G777" s="502"/>
      <c r="H777" s="492"/>
      <c r="I777" s="492" t="e">
        <f>F777-#REF!</f>
        <v>#REF!</v>
      </c>
      <c r="J777" s="275"/>
      <c r="K777" s="139"/>
      <c r="L777" s="139"/>
      <c r="M777" s="139"/>
      <c r="N777" s="140"/>
      <c r="O777" s="140"/>
      <c r="P777" s="140"/>
    </row>
    <row r="778" spans="1:16" s="141" customFormat="1" ht="16.5" hidden="1" customHeight="1" x14ac:dyDescent="0.3">
      <c r="A778" s="489"/>
      <c r="B778" s="489"/>
      <c r="C778" s="489"/>
      <c r="D778" s="647"/>
      <c r="E778" s="490"/>
      <c r="F778" s="491"/>
      <c r="G778" s="491"/>
      <c r="H778" s="491"/>
      <c r="I778" s="491"/>
      <c r="J778" s="275"/>
      <c r="K778" s="139"/>
      <c r="L778" s="139"/>
      <c r="M778" s="139"/>
      <c r="N778" s="140"/>
      <c r="O778" s="140"/>
      <c r="P778" s="140"/>
    </row>
    <row r="779" spans="1:16" s="141" customFormat="1" ht="39" hidden="1" x14ac:dyDescent="0.25">
      <c r="A779" s="293"/>
      <c r="B779" s="212"/>
      <c r="C779" s="212"/>
      <c r="D779" s="648" t="s">
        <v>93</v>
      </c>
      <c r="E779" s="294"/>
      <c r="F779" s="391">
        <f>SUM(F780:F781)</f>
        <v>0</v>
      </c>
      <c r="G779" s="391">
        <f t="shared" ref="G779:I779" si="158">SUM(G780:G781)</f>
        <v>0</v>
      </c>
      <c r="H779" s="512" t="e">
        <f t="shared" si="158"/>
        <v>#REF!</v>
      </c>
      <c r="I779" s="512" t="e">
        <f t="shared" si="158"/>
        <v>#REF!</v>
      </c>
      <c r="J779" s="275"/>
      <c r="K779" s="139"/>
      <c r="L779" s="139"/>
      <c r="M779" s="139"/>
      <c r="N779" s="140"/>
      <c r="O779" s="140"/>
      <c r="P779" s="140"/>
    </row>
    <row r="780" spans="1:16" s="141" customFormat="1" hidden="1" x14ac:dyDescent="0.25">
      <c r="A780" s="187"/>
      <c r="B780" s="212"/>
      <c r="C780" s="212"/>
      <c r="D780" s="622"/>
      <c r="E780" s="147"/>
      <c r="F780" s="508"/>
      <c r="G780" s="54"/>
      <c r="H780" s="487" t="e">
        <f>G780-#REF!</f>
        <v>#REF!</v>
      </c>
      <c r="I780" s="487" t="e">
        <f>F780-#REF!</f>
        <v>#REF!</v>
      </c>
      <c r="J780" s="275"/>
      <c r="K780" s="139"/>
      <c r="L780" s="139"/>
      <c r="M780" s="139"/>
      <c r="N780" s="140"/>
      <c r="O780" s="140"/>
      <c r="P780" s="140"/>
    </row>
    <row r="781" spans="1:16" s="141" customFormat="1" ht="42.75" hidden="1" customHeight="1" x14ac:dyDescent="0.25">
      <c r="A781" s="187"/>
      <c r="B781" s="212"/>
      <c r="C781" s="212"/>
      <c r="D781" s="622"/>
      <c r="E781" s="147"/>
      <c r="F781" s="508"/>
      <c r="G781" s="54"/>
      <c r="H781" s="487" t="e">
        <f>G781-#REF!</f>
        <v>#REF!</v>
      </c>
      <c r="I781" s="487" t="e">
        <f>F781-#REF!</f>
        <v>#REF!</v>
      </c>
      <c r="J781" s="275"/>
      <c r="K781" s="139"/>
      <c r="L781" s="139"/>
      <c r="M781" s="139"/>
      <c r="N781" s="140"/>
      <c r="O781" s="140"/>
      <c r="P781" s="140"/>
    </row>
    <row r="782" spans="1:16" s="141" customFormat="1" ht="15" hidden="1" customHeight="1" x14ac:dyDescent="0.25">
      <c r="A782" s="187"/>
      <c r="B782" s="212"/>
      <c r="C782" s="212"/>
      <c r="D782" s="612"/>
      <c r="E782" s="147"/>
      <c r="F782" s="54"/>
      <c r="G782" s="38"/>
      <c r="H782" s="487"/>
      <c r="I782" s="487"/>
      <c r="J782" s="275"/>
      <c r="K782" s="139"/>
      <c r="L782" s="139"/>
      <c r="M782" s="139"/>
      <c r="N782" s="140"/>
      <c r="O782" s="140"/>
      <c r="P782" s="140"/>
    </row>
    <row r="783" spans="1:16" s="141" customFormat="1" ht="20.25" hidden="1" customHeight="1" x14ac:dyDescent="0.25">
      <c r="A783" s="187"/>
      <c r="B783" s="212"/>
      <c r="C783" s="212"/>
      <c r="D783" s="649" t="s">
        <v>113</v>
      </c>
      <c r="E783" s="147"/>
      <c r="F783" s="512">
        <f>SUM(F784:F785)</f>
        <v>0</v>
      </c>
      <c r="G783" s="391">
        <f>SUM(G784:G785)</f>
        <v>0</v>
      </c>
      <c r="H783" s="512" t="e">
        <f>SUM(H784:H785)</f>
        <v>#REF!</v>
      </c>
      <c r="I783" s="512" t="e">
        <f>SUM(I784:I785)</f>
        <v>#REF!</v>
      </c>
      <c r="J783" s="275"/>
      <c r="K783" s="139"/>
      <c r="L783" s="139"/>
      <c r="M783" s="139"/>
      <c r="N783" s="140"/>
      <c r="O783" s="140"/>
      <c r="P783" s="140"/>
    </row>
    <row r="784" spans="1:16" s="141" customFormat="1" ht="38.25" hidden="1" customHeight="1" x14ac:dyDescent="0.25">
      <c r="A784" s="187"/>
      <c r="B784" s="212"/>
      <c r="C784" s="212"/>
      <c r="D784" s="620"/>
      <c r="E784" s="147"/>
      <c r="F784" s="508"/>
      <c r="G784" s="54"/>
      <c r="H784" s="501" t="e">
        <f>G784-#REF!</f>
        <v>#REF!</v>
      </c>
      <c r="I784" s="501" t="e">
        <f>F784-#REF!</f>
        <v>#REF!</v>
      </c>
      <c r="J784" s="275"/>
      <c r="K784" s="139"/>
      <c r="L784" s="139"/>
      <c r="M784" s="139"/>
      <c r="N784" s="140"/>
      <c r="O784" s="140"/>
      <c r="P784" s="140"/>
    </row>
    <row r="785" spans="1:16" s="141" customFormat="1" ht="38.25" hidden="1" customHeight="1" x14ac:dyDescent="0.25">
      <c r="A785" s="187"/>
      <c r="B785" s="212"/>
      <c r="C785" s="212"/>
      <c r="D785" s="620"/>
      <c r="E785" s="147"/>
      <c r="F785" s="508"/>
      <c r="G785" s="54"/>
      <c r="H785" s="487" t="e">
        <f>G785-#REF!</f>
        <v>#REF!</v>
      </c>
      <c r="I785" s="487" t="e">
        <f>F785-#REF!</f>
        <v>#REF!</v>
      </c>
      <c r="J785" s="275"/>
      <c r="K785" s="139"/>
      <c r="L785" s="139"/>
      <c r="M785" s="139"/>
      <c r="N785" s="140"/>
      <c r="O785" s="140"/>
      <c r="P785" s="140"/>
    </row>
    <row r="786" spans="1:16" s="141" customFormat="1" ht="12" hidden="1" customHeight="1" x14ac:dyDescent="0.25">
      <c r="A786" s="187"/>
      <c r="B786" s="212"/>
      <c r="C786" s="212"/>
      <c r="D786" s="587"/>
      <c r="E786" s="147"/>
      <c r="F786" s="54"/>
      <c r="G786" s="38"/>
      <c r="H786" s="39"/>
      <c r="I786" s="39"/>
      <c r="J786" s="275"/>
      <c r="K786" s="139"/>
      <c r="L786" s="139"/>
      <c r="M786" s="139"/>
      <c r="N786" s="140"/>
      <c r="O786" s="140"/>
      <c r="P786" s="140"/>
    </row>
    <row r="787" spans="1:16" s="141" customFormat="1" ht="20.25" hidden="1" customHeight="1" x14ac:dyDescent="0.25">
      <c r="A787" s="206">
        <v>3117325</v>
      </c>
      <c r="B787" s="206">
        <v>7325</v>
      </c>
      <c r="C787" s="206"/>
      <c r="D787" s="588"/>
      <c r="E787" s="208">
        <f t="shared" ref="E787:I787" si="159">E788</f>
        <v>0</v>
      </c>
      <c r="F787" s="208">
        <f t="shared" si="159"/>
        <v>0</v>
      </c>
      <c r="G787" s="208">
        <f t="shared" si="159"/>
        <v>0</v>
      </c>
      <c r="H787" s="208" t="e">
        <f t="shared" si="159"/>
        <v>#REF!</v>
      </c>
      <c r="I787" s="208" t="e">
        <f t="shared" si="159"/>
        <v>#REF!</v>
      </c>
      <c r="J787" s="275"/>
      <c r="K787" s="139"/>
      <c r="L787" s="139"/>
      <c r="M787" s="139"/>
      <c r="N787" s="140"/>
      <c r="O787" s="140"/>
      <c r="P787" s="140"/>
    </row>
    <row r="788" spans="1:16" s="141" customFormat="1" ht="20.25" hidden="1" customHeight="1" x14ac:dyDescent="0.3">
      <c r="A788" s="211"/>
      <c r="B788" s="211"/>
      <c r="C788" s="211"/>
      <c r="D788" s="557" t="s">
        <v>14</v>
      </c>
      <c r="E788" s="292"/>
      <c r="F788" s="292">
        <f>SUM(F789)</f>
        <v>0</v>
      </c>
      <c r="G788" s="292">
        <f>SUM(G789)</f>
        <v>0</v>
      </c>
      <c r="H788" s="292" t="e">
        <f>SUM(H789)</f>
        <v>#REF!</v>
      </c>
      <c r="I788" s="292" t="e">
        <f>SUM(I789)</f>
        <v>#REF!</v>
      </c>
      <c r="J788" s="275"/>
      <c r="K788" s="139"/>
      <c r="L788" s="139"/>
      <c r="M788" s="139"/>
      <c r="N788" s="140"/>
      <c r="O788" s="140"/>
      <c r="P788" s="140"/>
    </row>
    <row r="789" spans="1:16" s="141" customFormat="1" hidden="1" x14ac:dyDescent="0.25">
      <c r="A789" s="187"/>
      <c r="B789" s="212"/>
      <c r="C789" s="212"/>
      <c r="D789" s="620"/>
      <c r="E789" s="147"/>
      <c r="F789" s="54"/>
      <c r="G789" s="54"/>
      <c r="H789" s="487" t="e">
        <f>G789-#REF!</f>
        <v>#REF!</v>
      </c>
      <c r="I789" s="487" t="e">
        <f>F789-#REF!</f>
        <v>#REF!</v>
      </c>
      <c r="J789" s="275"/>
      <c r="K789" s="139"/>
      <c r="L789" s="139"/>
      <c r="M789" s="139"/>
      <c r="N789" s="140"/>
      <c r="O789" s="140"/>
      <c r="P789" s="140"/>
    </row>
    <row r="790" spans="1:16" s="141" customFormat="1" ht="12" hidden="1" customHeight="1" x14ac:dyDescent="0.25">
      <c r="A790" s="187"/>
      <c r="B790" s="212"/>
      <c r="C790" s="212"/>
      <c r="D790" s="587"/>
      <c r="E790" s="147"/>
      <c r="F790" s="54"/>
      <c r="G790" s="38"/>
      <c r="H790" s="39"/>
      <c r="I790" s="39"/>
      <c r="J790" s="275"/>
      <c r="K790" s="139"/>
      <c r="L790" s="139"/>
      <c r="M790" s="139"/>
      <c r="N790" s="140"/>
      <c r="O790" s="140"/>
      <c r="P790" s="140"/>
    </row>
    <row r="791" spans="1:16" s="141" customFormat="1" ht="23.25" hidden="1" customHeight="1" x14ac:dyDescent="0.25">
      <c r="A791" s="206">
        <v>3117370</v>
      </c>
      <c r="B791" s="206">
        <v>7370</v>
      </c>
      <c r="C791" s="206"/>
      <c r="D791" s="588"/>
      <c r="E791" s="208">
        <f t="shared" ref="E791:I791" si="160">E792</f>
        <v>0</v>
      </c>
      <c r="F791" s="208">
        <f t="shared" si="160"/>
        <v>0</v>
      </c>
      <c r="G791" s="208">
        <f t="shared" si="160"/>
        <v>0</v>
      </c>
      <c r="H791" s="208" t="e">
        <f t="shared" si="160"/>
        <v>#REF!</v>
      </c>
      <c r="I791" s="208" t="e">
        <f t="shared" si="160"/>
        <v>#REF!</v>
      </c>
      <c r="J791" s="275"/>
      <c r="K791" s="139"/>
      <c r="L791" s="139"/>
      <c r="M791" s="139"/>
      <c r="N791" s="140"/>
      <c r="O791" s="140"/>
      <c r="P791" s="140"/>
    </row>
    <row r="792" spans="1:16" s="141" customFormat="1" ht="23.25" hidden="1" customHeight="1" x14ac:dyDescent="0.3">
      <c r="A792" s="211"/>
      <c r="B792" s="211"/>
      <c r="C792" s="211"/>
      <c r="D792" s="557" t="s">
        <v>15</v>
      </c>
      <c r="E792" s="292"/>
      <c r="F792" s="292">
        <f>SUM(F793:F794)</f>
        <v>0</v>
      </c>
      <c r="G792" s="292">
        <f t="shared" ref="G792:I792" si="161">SUM(G793:G794)</f>
        <v>0</v>
      </c>
      <c r="H792" s="292" t="e">
        <f t="shared" si="161"/>
        <v>#REF!</v>
      </c>
      <c r="I792" s="292" t="e">
        <f t="shared" si="161"/>
        <v>#REF!</v>
      </c>
      <c r="J792" s="275"/>
      <c r="K792" s="139"/>
      <c r="L792" s="139"/>
      <c r="M792" s="139"/>
      <c r="N792" s="140"/>
      <c r="O792" s="140"/>
      <c r="P792" s="140"/>
    </row>
    <row r="793" spans="1:16" s="141" customFormat="1" ht="48" hidden="1" customHeight="1" x14ac:dyDescent="0.25">
      <c r="A793" s="187"/>
      <c r="B793" s="212"/>
      <c r="C793" s="212"/>
      <c r="D793" s="612"/>
      <c r="E793" s="147"/>
      <c r="F793" s="508"/>
      <c r="G793" s="54"/>
      <c r="H793" s="39" t="e">
        <f>G793-#REF!</f>
        <v>#REF!</v>
      </c>
      <c r="I793" s="39" t="e">
        <f>F793-#REF!</f>
        <v>#REF!</v>
      </c>
      <c r="J793" s="89"/>
      <c r="K793" s="139"/>
      <c r="L793" s="139"/>
      <c r="M793" s="139"/>
      <c r="N793" s="140"/>
      <c r="O793" s="140"/>
      <c r="P793" s="140"/>
    </row>
    <row r="794" spans="1:16" s="141" customFormat="1" ht="65.25" hidden="1" customHeight="1" x14ac:dyDescent="0.25">
      <c r="A794" s="187"/>
      <c r="B794" s="212"/>
      <c r="C794" s="212"/>
      <c r="D794" s="592"/>
      <c r="E794" s="147"/>
      <c r="F794" s="508"/>
      <c r="G794" s="54"/>
      <c r="H794" s="39" t="e">
        <f>G794-#REF!</f>
        <v>#REF!</v>
      </c>
      <c r="I794" s="39" t="e">
        <f>F794-#REF!</f>
        <v>#REF!</v>
      </c>
      <c r="J794" s="89"/>
      <c r="K794" s="139"/>
      <c r="L794" s="139"/>
      <c r="M794" s="139"/>
      <c r="N794" s="140"/>
      <c r="O794" s="140"/>
      <c r="P794" s="140"/>
    </row>
    <row r="795" spans="1:16" s="141" customFormat="1" ht="17.25" hidden="1" customHeight="1" x14ac:dyDescent="0.25">
      <c r="A795" s="187"/>
      <c r="B795" s="212"/>
      <c r="C795" s="212"/>
      <c r="D795" s="587"/>
      <c r="E795" s="147"/>
      <c r="F795" s="54"/>
      <c r="G795" s="38"/>
      <c r="H795" s="39"/>
      <c r="I795" s="39"/>
      <c r="J795" s="89"/>
      <c r="K795" s="139"/>
      <c r="L795" s="139"/>
      <c r="M795" s="139"/>
      <c r="N795" s="140"/>
      <c r="O795" s="140"/>
      <c r="P795" s="140"/>
    </row>
    <row r="796" spans="1:16" s="141" customFormat="1" ht="17.25" hidden="1" customHeight="1" x14ac:dyDescent="0.25">
      <c r="A796" s="206">
        <v>3117670</v>
      </c>
      <c r="B796" s="206">
        <v>7670</v>
      </c>
      <c r="C796" s="206"/>
      <c r="D796" s="588"/>
      <c r="E796" s="208">
        <f t="shared" ref="E796:I796" si="162">E797</f>
        <v>0</v>
      </c>
      <c r="F796" s="208">
        <f t="shared" si="162"/>
        <v>0</v>
      </c>
      <c r="G796" s="208">
        <f t="shared" si="162"/>
        <v>0</v>
      </c>
      <c r="H796" s="208" t="e">
        <f t="shared" si="162"/>
        <v>#REF!</v>
      </c>
      <c r="I796" s="208" t="e">
        <f t="shared" si="162"/>
        <v>#REF!</v>
      </c>
      <c r="J796" s="275"/>
      <c r="K796" s="25"/>
      <c r="L796" s="25"/>
      <c r="M796" s="25"/>
      <c r="N796" s="9"/>
      <c r="O796" s="9"/>
      <c r="P796" s="9"/>
    </row>
    <row r="797" spans="1:16" ht="24.75" hidden="1" customHeight="1" x14ac:dyDescent="0.3">
      <c r="A797" s="211"/>
      <c r="B797" s="211"/>
      <c r="C797" s="211"/>
      <c r="D797" s="557" t="s">
        <v>22</v>
      </c>
      <c r="E797" s="292">
        <f>E802+E804+E821+E825+E828+E834+E838</f>
        <v>0</v>
      </c>
      <c r="F797" s="292">
        <f>SUM(F798:F802)</f>
        <v>0</v>
      </c>
      <c r="G797" s="292">
        <f>SUM(G798:G802)</f>
        <v>0</v>
      </c>
      <c r="H797" s="292" t="e">
        <f>SUM(H798:H802)</f>
        <v>#REF!</v>
      </c>
      <c r="I797" s="292" t="e">
        <f>SUM(I798:I802)</f>
        <v>#REF!</v>
      </c>
      <c r="J797" s="275"/>
      <c r="K797" s="25"/>
      <c r="L797" s="25"/>
      <c r="M797" s="25"/>
    </row>
    <row r="798" spans="1:16" hidden="1" x14ac:dyDescent="0.25">
      <c r="A798" s="212"/>
      <c r="B798" s="212"/>
      <c r="C798" s="212"/>
      <c r="D798" s="620"/>
      <c r="E798" s="119"/>
      <c r="F798" s="119"/>
      <c r="G798" s="119"/>
      <c r="H798" s="517" t="e">
        <f>G798-#REF!</f>
        <v>#REF!</v>
      </c>
      <c r="I798" s="518" t="e">
        <f>F798-#REF!</f>
        <v>#REF!</v>
      </c>
      <c r="J798" s="376"/>
      <c r="K798" s="25"/>
      <c r="L798" s="25"/>
      <c r="M798" s="25"/>
    </row>
    <row r="799" spans="1:16" ht="30" hidden="1" customHeight="1" x14ac:dyDescent="0.25">
      <c r="A799" s="212"/>
      <c r="B799" s="212"/>
      <c r="C799" s="212"/>
      <c r="D799" s="620"/>
      <c r="E799" s="39"/>
      <c r="F799" s="39"/>
      <c r="G799" s="39"/>
      <c r="H799" s="517" t="e">
        <f>G799-#REF!</f>
        <v>#REF!</v>
      </c>
      <c r="I799" s="518" t="e">
        <f>F799-#REF!</f>
        <v>#REF!</v>
      </c>
      <c r="J799" s="376"/>
      <c r="K799" s="25"/>
      <c r="L799" s="25"/>
      <c r="M799" s="25"/>
    </row>
    <row r="800" spans="1:16" ht="23.25" hidden="1" customHeight="1" x14ac:dyDescent="0.25">
      <c r="A800" s="212"/>
      <c r="B800" s="212"/>
      <c r="C800" s="212"/>
      <c r="D800" s="620"/>
      <c r="E800" s="39"/>
      <c r="F800" s="39"/>
      <c r="G800" s="39"/>
      <c r="H800" s="518" t="e">
        <f>G800-#REF!</f>
        <v>#REF!</v>
      </c>
      <c r="I800" s="518" t="e">
        <f>F800-#REF!</f>
        <v>#REF!</v>
      </c>
      <c r="J800" s="376"/>
      <c r="K800" s="25"/>
      <c r="L800" s="25"/>
      <c r="M800" s="25"/>
    </row>
    <row r="801" spans="1:13" hidden="1" x14ac:dyDescent="0.25">
      <c r="A801" s="212"/>
      <c r="B801" s="212"/>
      <c r="C801" s="212"/>
      <c r="D801" s="620"/>
      <c r="E801" s="39"/>
      <c r="F801" s="39"/>
      <c r="G801" s="39"/>
      <c r="H801" s="518" t="e">
        <f>G801-#REF!</f>
        <v>#REF!</v>
      </c>
      <c r="I801" s="518" t="e">
        <f>F801-#REF!</f>
        <v>#REF!</v>
      </c>
      <c r="J801" s="376"/>
      <c r="K801" s="25"/>
      <c r="L801" s="25"/>
      <c r="M801" s="25"/>
    </row>
    <row r="802" spans="1:13" ht="21.75" hidden="1" customHeight="1" x14ac:dyDescent="0.25">
      <c r="A802" s="377"/>
      <c r="B802" s="378"/>
      <c r="C802" s="379"/>
      <c r="D802" s="620"/>
      <c r="E802" s="39"/>
      <c r="F802" s="39"/>
      <c r="G802" s="39"/>
      <c r="H802" s="518" t="e">
        <f>G802-#REF!</f>
        <v>#REF!</v>
      </c>
      <c r="I802" s="518" t="e">
        <f>F802-#REF!</f>
        <v>#REF!</v>
      </c>
      <c r="J802" s="376"/>
      <c r="K802" s="25"/>
      <c r="L802" s="25"/>
      <c r="M802" s="25"/>
    </row>
    <row r="803" spans="1:13" ht="30" hidden="1" customHeight="1" x14ac:dyDescent="0.25">
      <c r="A803" s="352"/>
      <c r="B803" s="353"/>
      <c r="C803" s="775" t="s">
        <v>204</v>
      </c>
      <c r="D803" s="776"/>
      <c r="E803" s="353">
        <f>E748</f>
        <v>0</v>
      </c>
      <c r="F803" s="353">
        <f>F729+F748</f>
        <v>0</v>
      </c>
      <c r="G803" s="353">
        <f>G729+G748</f>
        <v>0</v>
      </c>
      <c r="H803" s="353" t="e">
        <f>H729+H748</f>
        <v>#REF!</v>
      </c>
      <c r="I803" s="353" t="e">
        <f>I729+I748</f>
        <v>#REF!</v>
      </c>
      <c r="J803" s="275"/>
      <c r="K803" s="25"/>
      <c r="L803" s="25"/>
      <c r="M803" s="25"/>
    </row>
    <row r="804" spans="1:13" ht="31.5" hidden="1" customHeight="1" x14ac:dyDescent="0.3">
      <c r="A804" s="362"/>
      <c r="B804" s="363"/>
      <c r="C804" s="364"/>
      <c r="D804" s="641"/>
      <c r="E804" s="364"/>
      <c r="F804" s="364"/>
      <c r="G804" s="364"/>
      <c r="H804" s="364"/>
      <c r="I804" s="364"/>
      <c r="J804" s="365"/>
      <c r="K804" s="25"/>
      <c r="L804" s="25"/>
      <c r="M804" s="25"/>
    </row>
    <row r="805" spans="1:13" ht="43.5" hidden="1" customHeight="1" x14ac:dyDescent="0.25">
      <c r="A805" s="777" t="s">
        <v>114</v>
      </c>
      <c r="B805" s="777"/>
      <c r="C805" s="777"/>
      <c r="D805" s="777"/>
      <c r="E805" s="777"/>
      <c r="F805" s="777"/>
      <c r="G805" s="777"/>
      <c r="H805" s="777"/>
      <c r="I805" s="777"/>
      <c r="J805" s="392"/>
      <c r="K805" s="25"/>
      <c r="L805" s="25"/>
      <c r="M805" s="25"/>
    </row>
    <row r="806" spans="1:13" ht="19.5" hidden="1" customHeight="1" x14ac:dyDescent="0.25">
      <c r="A806" s="393"/>
      <c r="B806" s="393"/>
      <c r="C806" s="393"/>
      <c r="D806" s="393"/>
      <c r="E806" s="393"/>
      <c r="F806" s="393"/>
      <c r="G806" s="393"/>
      <c r="H806" s="393"/>
      <c r="I806" s="393"/>
      <c r="J806" s="394"/>
      <c r="K806" s="25"/>
      <c r="L806" s="25"/>
      <c r="M806" s="25"/>
    </row>
    <row r="807" spans="1:13" ht="31.5" hidden="1" customHeight="1" x14ac:dyDescent="0.25">
      <c r="A807" s="778" t="s">
        <v>3</v>
      </c>
      <c r="B807" s="778" t="s">
        <v>4</v>
      </c>
      <c r="C807" s="778" t="s">
        <v>5</v>
      </c>
      <c r="D807" s="780" t="s">
        <v>6</v>
      </c>
      <c r="E807" s="763" t="s">
        <v>152</v>
      </c>
      <c r="F807" s="769" t="s">
        <v>153</v>
      </c>
      <c r="G807" s="769" t="s">
        <v>154</v>
      </c>
      <c r="H807" s="757" t="s">
        <v>7</v>
      </c>
      <c r="I807" s="758"/>
      <c r="J807" s="17"/>
      <c r="K807" s="25"/>
      <c r="L807" s="25"/>
      <c r="M807" s="25"/>
    </row>
    <row r="808" spans="1:13" ht="70.5" hidden="1" customHeight="1" x14ac:dyDescent="0.25">
      <c r="A808" s="779"/>
      <c r="B808" s="779"/>
      <c r="C808" s="779"/>
      <c r="D808" s="781"/>
      <c r="E808" s="764"/>
      <c r="F808" s="770"/>
      <c r="G808" s="770"/>
      <c r="H808" s="18" t="s">
        <v>155</v>
      </c>
      <c r="I808" s="2" t="s">
        <v>8</v>
      </c>
      <c r="J808" s="17"/>
      <c r="K808" s="25"/>
      <c r="L808" s="25"/>
      <c r="M808" s="25"/>
    </row>
    <row r="809" spans="1:13" ht="22.5" hidden="1" x14ac:dyDescent="0.25">
      <c r="A809" s="283" t="s">
        <v>87</v>
      </c>
      <c r="B809" s="199"/>
      <c r="C809" s="370"/>
      <c r="D809" s="286" t="s">
        <v>88</v>
      </c>
      <c r="E809" s="371"/>
      <c r="F809" s="372">
        <f t="shared" ref="F809:I810" si="163">F810</f>
        <v>0</v>
      </c>
      <c r="G809" s="372">
        <f t="shared" si="163"/>
        <v>0</v>
      </c>
      <c r="H809" s="372" t="e">
        <f t="shared" si="163"/>
        <v>#REF!</v>
      </c>
      <c r="I809" s="372" t="e">
        <f t="shared" si="163"/>
        <v>#REF!</v>
      </c>
      <c r="J809" s="373"/>
      <c r="K809" s="25"/>
      <c r="L809" s="25"/>
      <c r="M809" s="25"/>
    </row>
    <row r="810" spans="1:13" ht="21.75" hidden="1" customHeight="1" x14ac:dyDescent="0.25">
      <c r="A810" s="206">
        <v>3116030</v>
      </c>
      <c r="B810" s="206">
        <v>6030</v>
      </c>
      <c r="C810" s="206"/>
      <c r="D810" s="588"/>
      <c r="E810" s="208"/>
      <c r="F810" s="208">
        <f t="shared" si="163"/>
        <v>0</v>
      </c>
      <c r="G810" s="208">
        <f t="shared" si="163"/>
        <v>0</v>
      </c>
      <c r="H810" s="208" t="e">
        <f t="shared" si="163"/>
        <v>#REF!</v>
      </c>
      <c r="I810" s="208" t="e">
        <f t="shared" si="163"/>
        <v>#REF!</v>
      </c>
      <c r="J810" s="275"/>
      <c r="K810" s="25"/>
      <c r="L810" s="25"/>
      <c r="M810" s="25"/>
    </row>
    <row r="811" spans="1:13" ht="21" hidden="1" customHeight="1" x14ac:dyDescent="0.3">
      <c r="A811" s="211"/>
      <c r="B811" s="211"/>
      <c r="C811" s="211"/>
      <c r="D811" s="557" t="s">
        <v>15</v>
      </c>
      <c r="E811" s="292"/>
      <c r="F811" s="63">
        <f>SUM(F812)</f>
        <v>0</v>
      </c>
      <c r="G811" s="63">
        <f>SUM(G812)</f>
        <v>0</v>
      </c>
      <c r="H811" s="63" t="e">
        <f>SUM(H812)</f>
        <v>#REF!</v>
      </c>
      <c r="I811" s="63" t="e">
        <f>SUM(I812)</f>
        <v>#REF!</v>
      </c>
      <c r="J811" s="64"/>
      <c r="K811" s="25"/>
      <c r="L811" s="25"/>
      <c r="M811" s="25"/>
    </row>
    <row r="812" spans="1:13" ht="31.5" hidden="1" customHeight="1" x14ac:dyDescent="0.3">
      <c r="A812" s="395"/>
      <c r="B812" s="396"/>
      <c r="C812" s="397"/>
      <c r="D812" s="643"/>
      <c r="E812" s="398"/>
      <c r="F812" s="518"/>
      <c r="G812" s="375"/>
      <c r="H812" s="375" t="e">
        <f>G812-#REF!</f>
        <v>#REF!</v>
      </c>
      <c r="I812" s="375" t="e">
        <f>F812-#REF!</f>
        <v>#REF!</v>
      </c>
      <c r="J812" s="376"/>
      <c r="K812" s="25"/>
      <c r="L812" s="25"/>
      <c r="M812" s="25"/>
    </row>
    <row r="813" spans="1:13" ht="15" hidden="1" customHeight="1" x14ac:dyDescent="0.3">
      <c r="A813" s="395"/>
      <c r="B813" s="396"/>
      <c r="C813" s="397"/>
      <c r="D813" s="643"/>
      <c r="E813" s="398"/>
      <c r="F813" s="375"/>
      <c r="G813" s="398"/>
      <c r="H813" s="375"/>
      <c r="I813" s="375"/>
      <c r="J813" s="376"/>
      <c r="K813" s="25"/>
      <c r="L813" s="25"/>
      <c r="M813" s="25"/>
    </row>
    <row r="814" spans="1:13" ht="31.5" hidden="1" customHeight="1" x14ac:dyDescent="0.25">
      <c r="A814" s="399"/>
      <c r="B814" s="400"/>
      <c r="C814" s="400"/>
      <c r="D814" s="71" t="s">
        <v>115</v>
      </c>
      <c r="E814" s="401">
        <f t="shared" ref="E814:I814" si="164">E809</f>
        <v>0</v>
      </c>
      <c r="F814" s="401">
        <f t="shared" si="164"/>
        <v>0</v>
      </c>
      <c r="G814" s="401">
        <f t="shared" si="164"/>
        <v>0</v>
      </c>
      <c r="H814" s="401" t="e">
        <f t="shared" si="164"/>
        <v>#REF!</v>
      </c>
      <c r="I814" s="401" t="e">
        <f t="shared" si="164"/>
        <v>#REF!</v>
      </c>
      <c r="J814" s="360"/>
      <c r="K814" s="25"/>
      <c r="L814" s="25"/>
      <c r="M814" s="25"/>
    </row>
    <row r="815" spans="1:13" ht="24" hidden="1" customHeight="1" x14ac:dyDescent="0.3">
      <c r="A815" s="362"/>
      <c r="B815" s="363"/>
      <c r="C815" s="364"/>
      <c r="D815" s="641"/>
      <c r="E815" s="364"/>
      <c r="F815" s="364"/>
      <c r="G815" s="364"/>
      <c r="H815" s="364"/>
      <c r="I815" s="364"/>
      <c r="J815" s="365"/>
      <c r="K815" s="25"/>
      <c r="L815" s="25"/>
      <c r="M815" s="25"/>
    </row>
    <row r="816" spans="1:13" ht="113.25" hidden="1" customHeight="1" x14ac:dyDescent="0.3">
      <c r="B816" s="774" t="s">
        <v>116</v>
      </c>
      <c r="C816" s="774"/>
      <c r="D816" s="774"/>
      <c r="E816" s="774"/>
      <c r="F816" s="774"/>
      <c r="G816" s="774"/>
      <c r="H816" s="774"/>
      <c r="I816" s="402"/>
      <c r="J816" s="403"/>
      <c r="K816" s="25"/>
      <c r="L816" s="25"/>
      <c r="M816" s="25"/>
    </row>
    <row r="817" spans="1:13" ht="15.75" hidden="1" customHeight="1" x14ac:dyDescent="0.25">
      <c r="F817" s="404"/>
      <c r="K817" s="25"/>
      <c r="L817" s="25"/>
      <c r="M817" s="25"/>
    </row>
    <row r="818" spans="1:13" ht="24" hidden="1" customHeight="1" x14ac:dyDescent="0.25">
      <c r="A818" s="765" t="s">
        <v>3</v>
      </c>
      <c r="B818" s="765" t="s">
        <v>4</v>
      </c>
      <c r="C818" s="765" t="s">
        <v>5</v>
      </c>
      <c r="D818" s="767" t="s">
        <v>6</v>
      </c>
      <c r="E818" s="763" t="s">
        <v>152</v>
      </c>
      <c r="F818" s="769" t="s">
        <v>153</v>
      </c>
      <c r="G818" s="769" t="s">
        <v>154</v>
      </c>
      <c r="H818" s="757" t="s">
        <v>7</v>
      </c>
      <c r="I818" s="758"/>
      <c r="J818" s="17"/>
      <c r="K818" s="25"/>
      <c r="L818" s="25"/>
      <c r="M818" s="25"/>
    </row>
    <row r="819" spans="1:13" ht="95.25" hidden="1" customHeight="1" x14ac:dyDescent="0.25">
      <c r="A819" s="766"/>
      <c r="B819" s="766"/>
      <c r="C819" s="766"/>
      <c r="D819" s="768"/>
      <c r="E819" s="764"/>
      <c r="F819" s="770"/>
      <c r="G819" s="770"/>
      <c r="H819" s="18" t="s">
        <v>155</v>
      </c>
      <c r="I819" s="2" t="s">
        <v>8</v>
      </c>
      <c r="J819" s="17"/>
      <c r="K819" s="25"/>
      <c r="L819" s="25"/>
      <c r="M819" s="25"/>
    </row>
    <row r="820" spans="1:13" ht="24" hidden="1" customHeight="1" x14ac:dyDescent="0.25">
      <c r="A820" s="405" t="s">
        <v>117</v>
      </c>
      <c r="B820" s="406"/>
      <c r="C820" s="406"/>
      <c r="D820" s="286" t="s">
        <v>68</v>
      </c>
      <c r="E820" s="407">
        <f t="shared" ref="E820:I820" si="165">E821+E826</f>
        <v>0</v>
      </c>
      <c r="F820" s="273">
        <f t="shared" si="165"/>
        <v>0</v>
      </c>
      <c r="G820" s="407">
        <f t="shared" si="165"/>
        <v>0</v>
      </c>
      <c r="H820" s="407" t="e">
        <f t="shared" si="165"/>
        <v>#REF!</v>
      </c>
      <c r="I820" s="407" t="e">
        <f t="shared" si="165"/>
        <v>#REF!</v>
      </c>
      <c r="J820" s="275"/>
      <c r="K820" s="25"/>
      <c r="L820" s="25"/>
      <c r="M820" s="25"/>
    </row>
    <row r="821" spans="1:13" ht="24" hidden="1" customHeight="1" x14ac:dyDescent="0.25">
      <c r="A821" s="408" t="s">
        <v>118</v>
      </c>
      <c r="B821" s="409">
        <v>3222</v>
      </c>
      <c r="C821" s="410" t="s">
        <v>119</v>
      </c>
      <c r="D821" s="411"/>
      <c r="E821" s="412">
        <f t="shared" ref="E821:I822" si="166">E822</f>
        <v>0</v>
      </c>
      <c r="F821" s="413">
        <f t="shared" si="166"/>
        <v>0</v>
      </c>
      <c r="G821" s="412">
        <f t="shared" si="166"/>
        <v>0</v>
      </c>
      <c r="H821" s="412" t="e">
        <f t="shared" si="166"/>
        <v>#REF!</v>
      </c>
      <c r="I821" s="412" t="e">
        <f t="shared" si="166"/>
        <v>#REF!</v>
      </c>
      <c r="J821" s="275"/>
      <c r="K821" s="25"/>
      <c r="L821" s="25"/>
      <c r="M821" s="25"/>
    </row>
    <row r="822" spans="1:13" ht="24" hidden="1" customHeight="1" x14ac:dyDescent="0.25">
      <c r="A822" s="414"/>
      <c r="B822" s="415"/>
      <c r="C822" s="415"/>
      <c r="D822" s="651" t="s">
        <v>120</v>
      </c>
      <c r="E822" s="292">
        <f t="shared" si="166"/>
        <v>0</v>
      </c>
      <c r="F822" s="32">
        <f t="shared" si="166"/>
        <v>0</v>
      </c>
      <c r="G822" s="292">
        <f t="shared" si="166"/>
        <v>0</v>
      </c>
      <c r="H822" s="292" t="e">
        <f t="shared" si="166"/>
        <v>#REF!</v>
      </c>
      <c r="I822" s="292" t="e">
        <f t="shared" si="166"/>
        <v>#REF!</v>
      </c>
      <c r="J822" s="275"/>
      <c r="K822" s="25"/>
      <c r="L822" s="25"/>
      <c r="M822" s="25"/>
    </row>
    <row r="823" spans="1:13" ht="24.75" hidden="1" customHeight="1" x14ac:dyDescent="0.25">
      <c r="A823" s="416"/>
      <c r="B823" s="417"/>
      <c r="C823" s="417"/>
      <c r="D823" s="550"/>
      <c r="E823" s="39"/>
      <c r="F823" s="40"/>
      <c r="G823" s="39"/>
      <c r="H823" s="39" t="e">
        <f>G823-#REF!</f>
        <v>#REF!</v>
      </c>
      <c r="I823" s="39" t="e">
        <f>F823-#REF!</f>
        <v>#REF!</v>
      </c>
      <c r="J823" s="89"/>
      <c r="K823" s="25"/>
      <c r="L823" s="25"/>
      <c r="M823" s="25"/>
    </row>
    <row r="824" spans="1:13" ht="14.25" hidden="1" customHeight="1" x14ac:dyDescent="0.25">
      <c r="A824" s="416"/>
      <c r="B824" s="417"/>
      <c r="C824" s="417"/>
      <c r="D824" s="446"/>
      <c r="E824" s="39"/>
      <c r="F824" s="40"/>
      <c r="G824" s="39"/>
      <c r="H824" s="39"/>
      <c r="I824" s="39"/>
      <c r="J824" s="89"/>
      <c r="K824" s="25"/>
      <c r="L824" s="25"/>
      <c r="M824" s="25"/>
    </row>
    <row r="825" spans="1:13" ht="24" hidden="1" customHeight="1" x14ac:dyDescent="0.25">
      <c r="A825" s="399"/>
      <c r="B825" s="400"/>
      <c r="C825" s="400"/>
      <c r="D825" s="71" t="s">
        <v>115</v>
      </c>
      <c r="E825" s="401">
        <f t="shared" ref="E825:I825" si="167">E820</f>
        <v>0</v>
      </c>
      <c r="F825" s="418">
        <f t="shared" si="167"/>
        <v>0</v>
      </c>
      <c r="G825" s="401">
        <f t="shared" si="167"/>
        <v>0</v>
      </c>
      <c r="H825" s="401" t="e">
        <f t="shared" si="167"/>
        <v>#REF!</v>
      </c>
      <c r="I825" s="401" t="e">
        <f t="shared" si="167"/>
        <v>#REF!</v>
      </c>
      <c r="J825" s="360"/>
      <c r="K825" s="25"/>
      <c r="L825" s="25"/>
      <c r="M825" s="25"/>
    </row>
    <row r="826" spans="1:13" ht="24" hidden="1" customHeight="1" x14ac:dyDescent="0.3">
      <c r="A826" s="362"/>
      <c r="B826" s="363"/>
      <c r="C826" s="364"/>
      <c r="D826" s="641"/>
      <c r="E826" s="364"/>
      <c r="F826" s="364"/>
      <c r="G826" s="364"/>
      <c r="H826" s="364"/>
      <c r="I826" s="364"/>
      <c r="J826" s="365"/>
      <c r="K826" s="25"/>
      <c r="L826" s="25"/>
      <c r="M826" s="25"/>
    </row>
    <row r="827" spans="1:13" ht="15" hidden="1" customHeight="1" x14ac:dyDescent="0.25">
      <c r="D827" s="760" t="s">
        <v>121</v>
      </c>
      <c r="E827" s="760"/>
      <c r="F827" s="760"/>
      <c r="G827" s="760"/>
    </row>
    <row r="828" spans="1:13" ht="27.75" hidden="1" customHeight="1" x14ac:dyDescent="0.25">
      <c r="D828" s="760"/>
      <c r="E828" s="760"/>
      <c r="F828" s="760"/>
      <c r="G828" s="760"/>
    </row>
    <row r="829" spans="1:13" ht="36" hidden="1" customHeight="1" x14ac:dyDescent="0.25">
      <c r="F829" s="404"/>
    </row>
    <row r="830" spans="1:13" ht="15.75" hidden="1" customHeight="1" x14ac:dyDescent="0.25">
      <c r="A830" s="761" t="s">
        <v>3</v>
      </c>
      <c r="B830" s="763" t="s">
        <v>4</v>
      </c>
      <c r="C830" s="765" t="s">
        <v>5</v>
      </c>
      <c r="D830" s="767" t="s">
        <v>6</v>
      </c>
      <c r="E830" s="763" t="s">
        <v>122</v>
      </c>
      <c r="F830" s="769" t="s">
        <v>123</v>
      </c>
      <c r="G830" s="769" t="s">
        <v>124</v>
      </c>
      <c r="H830" s="757" t="s">
        <v>7</v>
      </c>
      <c r="I830" s="758"/>
      <c r="J830" s="17"/>
    </row>
    <row r="831" spans="1:13" ht="172.5" hidden="1" customHeight="1" x14ac:dyDescent="0.25">
      <c r="A831" s="762"/>
      <c r="B831" s="764"/>
      <c r="C831" s="766"/>
      <c r="D831" s="768"/>
      <c r="E831" s="764"/>
      <c r="F831" s="770"/>
      <c r="G831" s="770"/>
      <c r="H831" s="18" t="s">
        <v>125</v>
      </c>
      <c r="I831" s="2" t="s">
        <v>8</v>
      </c>
      <c r="J831" s="17"/>
    </row>
    <row r="832" spans="1:13" ht="18.75" hidden="1" customHeight="1" x14ac:dyDescent="0.25">
      <c r="A832" s="283" t="s">
        <v>126</v>
      </c>
      <c r="B832" s="283"/>
      <c r="C832" s="283"/>
      <c r="D832" s="420" t="s">
        <v>88</v>
      </c>
      <c r="E832" s="20"/>
      <c r="F832" s="273">
        <f t="shared" ref="F832:I833" si="168">F833</f>
        <v>0</v>
      </c>
      <c r="G832" s="407">
        <f t="shared" si="168"/>
        <v>0</v>
      </c>
      <c r="H832" s="407" t="e">
        <f t="shared" si="168"/>
        <v>#REF!</v>
      </c>
      <c r="I832" s="407" t="e">
        <f t="shared" si="168"/>
        <v>#REF!</v>
      </c>
      <c r="J832" s="275"/>
    </row>
    <row r="833" spans="1:10" hidden="1" x14ac:dyDescent="0.25">
      <c r="A833" s="421">
        <v>3117380</v>
      </c>
      <c r="B833" s="422">
        <v>7380</v>
      </c>
      <c r="C833" s="423"/>
      <c r="D833" s="424"/>
      <c r="E833" s="425"/>
      <c r="F833" s="413">
        <f t="shared" si="168"/>
        <v>0</v>
      </c>
      <c r="G833" s="412">
        <f t="shared" si="168"/>
        <v>0</v>
      </c>
      <c r="H833" s="412" t="e">
        <f t="shared" si="168"/>
        <v>#REF!</v>
      </c>
      <c r="I833" s="412" t="e">
        <f t="shared" si="168"/>
        <v>#REF!</v>
      </c>
      <c r="J833" s="275"/>
    </row>
    <row r="834" spans="1:10" ht="20.25" hidden="1" x14ac:dyDescent="0.25">
      <c r="A834" s="426"/>
      <c r="B834" s="426"/>
      <c r="C834" s="427"/>
      <c r="D834" s="652" t="s">
        <v>15</v>
      </c>
      <c r="E834" s="308"/>
      <c r="F834" s="308">
        <f>SUM(F835)</f>
        <v>0</v>
      </c>
      <c r="G834" s="294">
        <f>SUM(G835)</f>
        <v>0</v>
      </c>
      <c r="H834" s="294" t="e">
        <f>SUM(H835)</f>
        <v>#REF!</v>
      </c>
      <c r="I834" s="294" t="e">
        <f>SUM(I835)</f>
        <v>#REF!</v>
      </c>
      <c r="J834" s="64"/>
    </row>
    <row r="835" spans="1:10" ht="56.25" hidden="1" x14ac:dyDescent="0.25">
      <c r="A835" s="426"/>
      <c r="B835" s="426"/>
      <c r="C835" s="427"/>
      <c r="D835" s="446" t="s">
        <v>127</v>
      </c>
      <c r="E835" s="308"/>
      <c r="F835" s="147">
        <f>3653121.2-3653121.2</f>
        <v>0</v>
      </c>
      <c r="G835" s="54">
        <f>3653121.2-3653121.2</f>
        <v>0</v>
      </c>
      <c r="H835" s="54" t="e">
        <f>G835-#REF!</f>
        <v>#REF!</v>
      </c>
      <c r="I835" s="54" t="e">
        <f>F835-#REF!</f>
        <v>#REF!</v>
      </c>
      <c r="J835" s="89"/>
    </row>
    <row r="836" spans="1:10" hidden="1" x14ac:dyDescent="0.25">
      <c r="A836" s="377"/>
      <c r="B836" s="377"/>
      <c r="C836" s="428"/>
      <c r="D836" s="653"/>
      <c r="E836" s="377"/>
      <c r="F836" s="429"/>
      <c r="G836" s="377"/>
      <c r="I836" s="6"/>
      <c r="J836" s="430"/>
    </row>
    <row r="837" spans="1:10" ht="21" hidden="1" x14ac:dyDescent="0.25">
      <c r="A837" s="399"/>
      <c r="B837" s="400"/>
      <c r="C837" s="400"/>
      <c r="D837" s="71" t="s">
        <v>115</v>
      </c>
      <c r="E837" s="401" t="e">
        <f>#REF!</f>
        <v>#REF!</v>
      </c>
      <c r="F837" s="418">
        <f>F832</f>
        <v>0</v>
      </c>
      <c r="G837" s="401">
        <f>G832</f>
        <v>0</v>
      </c>
      <c r="H837" s="401" t="e">
        <f>H832</f>
        <v>#REF!</v>
      </c>
      <c r="I837" s="401" t="e">
        <f>I832</f>
        <v>#REF!</v>
      </c>
      <c r="J837" s="360"/>
    </row>
    <row r="838" spans="1:10" hidden="1" x14ac:dyDescent="0.25"/>
    <row r="839" spans="1:10" hidden="1" x14ac:dyDescent="0.25"/>
    <row r="840" spans="1:10" ht="15" hidden="1" customHeight="1" x14ac:dyDescent="0.25">
      <c r="D840" s="760" t="s">
        <v>128</v>
      </c>
      <c r="E840" s="760"/>
      <c r="F840" s="760"/>
      <c r="G840" s="760"/>
    </row>
    <row r="841" spans="1:10" ht="27" hidden="1" customHeight="1" x14ac:dyDescent="0.25">
      <c r="D841" s="760"/>
      <c r="E841" s="760"/>
      <c r="F841" s="760"/>
      <c r="G841" s="760"/>
    </row>
    <row r="842" spans="1:10" ht="15" hidden="1" customHeight="1" x14ac:dyDescent="0.25">
      <c r="F842" s="404"/>
    </row>
    <row r="843" spans="1:10" ht="15" hidden="1" customHeight="1" x14ac:dyDescent="0.25">
      <c r="A843" s="761" t="s">
        <v>3</v>
      </c>
      <c r="B843" s="763" t="s">
        <v>4</v>
      </c>
      <c r="C843" s="765" t="s">
        <v>5</v>
      </c>
      <c r="D843" s="767" t="s">
        <v>6</v>
      </c>
      <c r="E843" s="763" t="s">
        <v>122</v>
      </c>
      <c r="F843" s="769" t="s">
        <v>123</v>
      </c>
      <c r="G843" s="769" t="s">
        <v>124</v>
      </c>
      <c r="H843" s="757" t="s">
        <v>7</v>
      </c>
      <c r="I843" s="758"/>
      <c r="J843" s="17"/>
    </row>
    <row r="844" spans="1:10" ht="194.25" hidden="1" customHeight="1" x14ac:dyDescent="0.25">
      <c r="A844" s="762"/>
      <c r="B844" s="764"/>
      <c r="C844" s="766"/>
      <c r="D844" s="768"/>
      <c r="E844" s="764"/>
      <c r="F844" s="770"/>
      <c r="G844" s="770"/>
      <c r="H844" s="18" t="s">
        <v>125</v>
      </c>
      <c r="I844" s="2" t="s">
        <v>8</v>
      </c>
      <c r="J844" s="17"/>
    </row>
    <row r="845" spans="1:10" ht="15" hidden="1" customHeight="1" x14ac:dyDescent="0.25">
      <c r="A845" s="283" t="s">
        <v>126</v>
      </c>
      <c r="B845" s="283"/>
      <c r="C845" s="283"/>
      <c r="D845" s="420" t="s">
        <v>88</v>
      </c>
      <c r="E845" s="20"/>
      <c r="F845" s="273">
        <f t="shared" ref="F845:I846" si="169">F846</f>
        <v>0</v>
      </c>
      <c r="G845" s="407">
        <f t="shared" si="169"/>
        <v>0</v>
      </c>
      <c r="H845" s="407" t="e">
        <f t="shared" si="169"/>
        <v>#REF!</v>
      </c>
      <c r="I845" s="407" t="e">
        <f t="shared" si="169"/>
        <v>#REF!</v>
      </c>
      <c r="J845" s="275"/>
    </row>
    <row r="846" spans="1:10" ht="15" hidden="1" customHeight="1" x14ac:dyDescent="0.25">
      <c r="A846" s="421">
        <v>3116030</v>
      </c>
      <c r="B846" s="422">
        <v>6030</v>
      </c>
      <c r="C846" s="423"/>
      <c r="D846" s="424"/>
      <c r="E846" s="425"/>
      <c r="F846" s="413">
        <f t="shared" si="169"/>
        <v>0</v>
      </c>
      <c r="G846" s="412">
        <f t="shared" si="169"/>
        <v>0</v>
      </c>
      <c r="H846" s="412" t="e">
        <f t="shared" si="169"/>
        <v>#REF!</v>
      </c>
      <c r="I846" s="412" t="e">
        <f t="shared" si="169"/>
        <v>#REF!</v>
      </c>
      <c r="J846" s="275"/>
    </row>
    <row r="847" spans="1:10" ht="20.25" hidden="1" x14ac:dyDescent="0.25">
      <c r="A847" s="426"/>
      <c r="B847" s="426"/>
      <c r="C847" s="427"/>
      <c r="D847" s="652" t="s">
        <v>22</v>
      </c>
      <c r="E847" s="308"/>
      <c r="F847" s="308">
        <f>SUM(F848)</f>
        <v>0</v>
      </c>
      <c r="G847" s="294">
        <f>SUM(G848)</f>
        <v>0</v>
      </c>
      <c r="H847" s="294" t="e">
        <f>SUM(H848)</f>
        <v>#REF!</v>
      </c>
      <c r="I847" s="294" t="e">
        <f>SUM(I848)</f>
        <v>#REF!</v>
      </c>
      <c r="J847" s="64"/>
    </row>
    <row r="848" spans="1:10" ht="15.75" hidden="1" customHeight="1" x14ac:dyDescent="0.25">
      <c r="A848" s="426"/>
      <c r="B848" s="426"/>
      <c r="C848" s="427"/>
      <c r="D848" s="446" t="s">
        <v>129</v>
      </c>
      <c r="E848" s="308"/>
      <c r="F848" s="147">
        <f>1293970-1293970</f>
        <v>0</v>
      </c>
      <c r="G848" s="54">
        <f>1293970-1293970</f>
        <v>0</v>
      </c>
      <c r="H848" s="54" t="e">
        <f>G848-#REF!</f>
        <v>#REF!</v>
      </c>
      <c r="I848" s="54" t="e">
        <f>F848-#REF!</f>
        <v>#REF!</v>
      </c>
      <c r="J848" s="89"/>
    </row>
    <row r="849" spans="1:10" hidden="1" x14ac:dyDescent="0.25">
      <c r="A849" s="377"/>
      <c r="B849" s="377"/>
      <c r="C849" s="428"/>
      <c r="D849" s="653"/>
      <c r="E849" s="377"/>
      <c r="F849" s="429"/>
      <c r="G849" s="377"/>
      <c r="I849" s="6"/>
      <c r="J849" s="430"/>
    </row>
    <row r="850" spans="1:10" ht="21" hidden="1" x14ac:dyDescent="0.25">
      <c r="A850" s="399"/>
      <c r="B850" s="400"/>
      <c r="C850" s="400"/>
      <c r="D850" s="71" t="s">
        <v>115</v>
      </c>
      <c r="E850" s="401">
        <f t="shared" ref="E850:I850" si="170">E845</f>
        <v>0</v>
      </c>
      <c r="F850" s="418">
        <f t="shared" si="170"/>
        <v>0</v>
      </c>
      <c r="G850" s="401">
        <f t="shared" si="170"/>
        <v>0</v>
      </c>
      <c r="H850" s="401" t="e">
        <f t="shared" si="170"/>
        <v>#REF!</v>
      </c>
      <c r="I850" s="401" t="e">
        <f t="shared" si="170"/>
        <v>#REF!</v>
      </c>
      <c r="J850" s="360"/>
    </row>
    <row r="851" spans="1:10" ht="18.75" hidden="1" customHeight="1" x14ac:dyDescent="0.3">
      <c r="B851" s="431"/>
      <c r="C851" s="432"/>
      <c r="D851" s="759" t="s">
        <v>130</v>
      </c>
      <c r="E851" s="759"/>
      <c r="F851" s="759"/>
      <c r="G851" s="759"/>
      <c r="H851" s="24"/>
      <c r="I851" s="24"/>
      <c r="J851" s="382"/>
    </row>
    <row r="852" spans="1:10" hidden="1" x14ac:dyDescent="0.25">
      <c r="B852" s="431"/>
      <c r="C852" s="432"/>
      <c r="D852" s="654"/>
      <c r="E852" s="431"/>
      <c r="F852" s="431"/>
      <c r="G852" s="431"/>
      <c r="H852" s="24"/>
      <c r="I852" s="24"/>
      <c r="J852" s="382"/>
    </row>
    <row r="853" spans="1:10" ht="55.5" hidden="1" customHeight="1" x14ac:dyDescent="0.25">
      <c r="A853" s="772" t="s">
        <v>3</v>
      </c>
      <c r="B853" s="772" t="s">
        <v>4</v>
      </c>
      <c r="C853" s="772" t="s">
        <v>5</v>
      </c>
      <c r="D853" s="767" t="s">
        <v>6</v>
      </c>
      <c r="E853" s="763" t="s">
        <v>152</v>
      </c>
      <c r="F853" s="769" t="s">
        <v>153</v>
      </c>
      <c r="G853" s="769" t="s">
        <v>154</v>
      </c>
      <c r="H853" s="757" t="s">
        <v>7</v>
      </c>
      <c r="I853" s="758"/>
      <c r="J853" s="17"/>
    </row>
    <row r="854" spans="1:10" ht="24" hidden="1" customHeight="1" x14ac:dyDescent="0.25">
      <c r="A854" s="773"/>
      <c r="B854" s="773"/>
      <c r="C854" s="773"/>
      <c r="D854" s="768"/>
      <c r="E854" s="764"/>
      <c r="F854" s="770"/>
      <c r="G854" s="770"/>
      <c r="H854" s="18" t="s">
        <v>155</v>
      </c>
      <c r="I854" s="2" t="s">
        <v>8</v>
      </c>
      <c r="J854" s="17"/>
    </row>
    <row r="855" spans="1:10" ht="28.5" hidden="1" customHeight="1" x14ac:dyDescent="0.25">
      <c r="A855" s="19" t="s">
        <v>9</v>
      </c>
      <c r="B855" s="20"/>
      <c r="C855" s="20"/>
      <c r="D855" s="535" t="s">
        <v>10</v>
      </c>
      <c r="E855" s="22"/>
      <c r="F855" s="433">
        <f>F856+F873+F877+F882+F886+F864</f>
        <v>0</v>
      </c>
      <c r="G855" s="433">
        <f>G856+G873+G877+G882+G886+G864</f>
        <v>0</v>
      </c>
      <c r="H855" s="433" t="e">
        <f>H856+H873+H877+H882+H886+H864</f>
        <v>#REF!</v>
      </c>
      <c r="I855" s="433" t="e">
        <f>I856+I873+I877+I882+I886+I864</f>
        <v>#REF!</v>
      </c>
      <c r="J855" s="434"/>
    </row>
    <row r="856" spans="1:10" hidden="1" x14ac:dyDescent="0.3">
      <c r="A856" s="26" t="s">
        <v>11</v>
      </c>
      <c r="B856" s="27" t="s">
        <v>12</v>
      </c>
      <c r="C856" s="28"/>
      <c r="D856" s="605"/>
      <c r="E856" s="29"/>
      <c r="F856" s="29">
        <f>F857+F860</f>
        <v>0</v>
      </c>
      <c r="G856" s="29">
        <f>G857+G860</f>
        <v>0</v>
      </c>
      <c r="H856" s="29" t="e">
        <f>H857+H860</f>
        <v>#REF!</v>
      </c>
      <c r="I856" s="29" t="e">
        <f>I857+I860</f>
        <v>#REF!</v>
      </c>
      <c r="J856" s="30"/>
    </row>
    <row r="857" spans="1:10" hidden="1" x14ac:dyDescent="0.3">
      <c r="A857" s="31"/>
      <c r="B857" s="32"/>
      <c r="C857" s="435"/>
      <c r="D857" s="537" t="s">
        <v>13</v>
      </c>
      <c r="E857" s="436"/>
      <c r="F857" s="437">
        <f>SUM(F858)</f>
        <v>0</v>
      </c>
      <c r="G857" s="437">
        <f>SUM(G858)</f>
        <v>0</v>
      </c>
      <c r="H857" s="437" t="e">
        <f>SUM(H858)</f>
        <v>#REF!</v>
      </c>
      <c r="I857" s="437" t="e">
        <f>SUM(I858)</f>
        <v>#REF!</v>
      </c>
      <c r="J857" s="438"/>
    </row>
    <row r="858" spans="1:10" hidden="1" x14ac:dyDescent="0.3">
      <c r="A858" s="76"/>
      <c r="B858" s="77"/>
      <c r="C858" s="439"/>
      <c r="D858" s="543"/>
      <c r="E858" s="440"/>
      <c r="F858" s="441"/>
      <c r="G858" s="441"/>
      <c r="H858" s="441" t="e">
        <f>G858-#REF!</f>
        <v>#REF!</v>
      </c>
      <c r="I858" s="441" t="e">
        <f>F858-#REF!</f>
        <v>#REF!</v>
      </c>
      <c r="J858" s="442"/>
    </row>
    <row r="859" spans="1:10" hidden="1" x14ac:dyDescent="0.3">
      <c r="A859" s="76"/>
      <c r="B859" s="77"/>
      <c r="C859" s="439"/>
      <c r="D859" s="655"/>
      <c r="E859" s="440"/>
      <c r="F859" s="440"/>
      <c r="G859" s="440"/>
      <c r="H859" s="440"/>
      <c r="I859" s="440"/>
      <c r="J859" s="30"/>
    </row>
    <row r="860" spans="1:10" hidden="1" x14ac:dyDescent="0.3">
      <c r="A860" s="31"/>
      <c r="B860" s="32"/>
      <c r="C860" s="32"/>
      <c r="D860" s="537" t="s">
        <v>15</v>
      </c>
      <c r="E860" s="33"/>
      <c r="F860" s="33">
        <f>SUM(F861:F862)</f>
        <v>0</v>
      </c>
      <c r="G860" s="33">
        <f>SUM(G861:G862)</f>
        <v>0</v>
      </c>
      <c r="H860" s="33" t="e">
        <f>SUM(H861:H862)</f>
        <v>#REF!</v>
      </c>
      <c r="I860" s="33" t="e">
        <f>SUM(I861:I862)</f>
        <v>#REF!</v>
      </c>
      <c r="J860" s="34"/>
    </row>
    <row r="861" spans="1:10" ht="22.5" hidden="1" customHeight="1" x14ac:dyDescent="0.25">
      <c r="A861" s="76"/>
      <c r="B861" s="149"/>
      <c r="C861" s="149"/>
      <c r="D861" s="443"/>
      <c r="E861" s="444"/>
      <c r="F861" s="130"/>
      <c r="G861" s="445"/>
      <c r="H861" s="54" t="e">
        <f>G861-#REF!</f>
        <v>#REF!</v>
      </c>
      <c r="I861" s="54" t="e">
        <f>F861-#REF!</f>
        <v>#REF!</v>
      </c>
      <c r="J861" s="89"/>
    </row>
    <row r="862" spans="1:10" hidden="1" x14ac:dyDescent="0.25">
      <c r="A862" s="419"/>
      <c r="B862" s="146"/>
      <c r="C862" s="146"/>
      <c r="D862" s="443"/>
      <c r="E862" s="146"/>
      <c r="F862" s="54"/>
      <c r="G862" s="369"/>
      <c r="H862" s="54" t="e">
        <f>G862-#REF!</f>
        <v>#REF!</v>
      </c>
      <c r="I862" s="54" t="e">
        <f>F862-#REF!</f>
        <v>#REF!</v>
      </c>
      <c r="J862" s="89"/>
    </row>
    <row r="863" spans="1:10" ht="24" hidden="1" customHeight="1" x14ac:dyDescent="0.3">
      <c r="A863" s="419"/>
      <c r="B863" s="146"/>
      <c r="C863" s="146"/>
      <c r="D863" s="629"/>
      <c r="E863" s="146"/>
      <c r="F863" s="54"/>
      <c r="G863" s="369"/>
      <c r="H863" s="54" t="e">
        <f>G863-#REF!</f>
        <v>#REF!</v>
      </c>
      <c r="I863" s="54" t="e">
        <f>F863-#REF!</f>
        <v>#REF!</v>
      </c>
      <c r="J863" s="89"/>
    </row>
    <row r="864" spans="1:10" hidden="1" x14ac:dyDescent="0.25">
      <c r="A864" s="26" t="s">
        <v>20</v>
      </c>
      <c r="B864" s="86" t="s">
        <v>21</v>
      </c>
      <c r="C864" s="87"/>
      <c r="D864" s="71"/>
      <c r="E864" s="70">
        <f>SUM(E866:E869)</f>
        <v>0</v>
      </c>
      <c r="F864" s="70">
        <f>F865+F870</f>
        <v>0</v>
      </c>
      <c r="G864" s="70">
        <f>G865+G870</f>
        <v>0</v>
      </c>
      <c r="H864" s="70" t="e">
        <f>H865+H870</f>
        <v>#REF!</v>
      </c>
      <c r="I864" s="70" t="e">
        <f>I865+I870</f>
        <v>#REF!</v>
      </c>
      <c r="J864" s="47"/>
    </row>
    <row r="865" spans="1:11" hidden="1" x14ac:dyDescent="0.3">
      <c r="A865" s="31"/>
      <c r="B865" s="32"/>
      <c r="C865" s="32"/>
      <c r="D865" s="537" t="s">
        <v>22</v>
      </c>
      <c r="E865" s="33"/>
      <c r="F865" s="33">
        <f>F866+F867+F868</f>
        <v>0</v>
      </c>
      <c r="G865" s="33">
        <f>G866+G867+G868</f>
        <v>0</v>
      </c>
      <c r="H865" s="33" t="e">
        <f>H866+H867+H868</f>
        <v>#REF!</v>
      </c>
      <c r="I865" s="33" t="e">
        <f>I866+I867+I868</f>
        <v>#REF!</v>
      </c>
      <c r="J865" s="34"/>
    </row>
    <row r="866" spans="1:11" hidden="1" x14ac:dyDescent="0.25">
      <c r="A866" s="84"/>
      <c r="B866" s="85"/>
      <c r="C866" s="85"/>
      <c r="D866" s="446"/>
      <c r="E866" s="54"/>
      <c r="F866" s="38"/>
      <c r="G866" s="38"/>
      <c r="H866" s="39" t="e">
        <f>G866-#REF!</f>
        <v>#REF!</v>
      </c>
      <c r="I866" s="39" t="e">
        <f>F866-#REF!</f>
        <v>#REF!</v>
      </c>
      <c r="J866" s="89"/>
    </row>
    <row r="867" spans="1:11" hidden="1" x14ac:dyDescent="0.25">
      <c r="A867" s="84"/>
      <c r="B867" s="85"/>
      <c r="C867" s="85"/>
      <c r="D867" s="446"/>
      <c r="E867" s="54"/>
      <c r="F867" s="38"/>
      <c r="G867" s="38"/>
      <c r="H867" s="39" t="e">
        <f>G867-#REF!</f>
        <v>#REF!</v>
      </c>
      <c r="I867" s="39" t="e">
        <f>F867-#REF!</f>
        <v>#REF!</v>
      </c>
      <c r="J867" s="89"/>
    </row>
    <row r="868" spans="1:11" ht="15.75" hidden="1" customHeight="1" x14ac:dyDescent="0.25">
      <c r="A868" s="84"/>
      <c r="B868" s="85"/>
      <c r="C868" s="85"/>
      <c r="D868" s="446"/>
      <c r="E868" s="54"/>
      <c r="F868" s="38"/>
      <c r="G868" s="38"/>
      <c r="H868" s="39" t="e">
        <f>G868-#REF!</f>
        <v>#REF!</v>
      </c>
      <c r="I868" s="39" t="e">
        <f>F868-#REF!</f>
        <v>#REF!</v>
      </c>
      <c r="J868" s="89"/>
    </row>
    <row r="869" spans="1:11" hidden="1" x14ac:dyDescent="0.25">
      <c r="A869" s="84"/>
      <c r="B869" s="85"/>
      <c r="C869" s="85"/>
      <c r="D869" s="550"/>
      <c r="E869" s="54"/>
      <c r="F869" s="38"/>
      <c r="G869" s="38"/>
      <c r="H869" s="39" t="e">
        <f>G869-#REF!</f>
        <v>#REF!</v>
      </c>
      <c r="I869" s="39" t="e">
        <f>F869-#REF!</f>
        <v>#REF!</v>
      </c>
      <c r="J869" s="89"/>
      <c r="K869" s="25" t="e">
        <f>H869+#REF!</f>
        <v>#REF!</v>
      </c>
    </row>
    <row r="870" spans="1:11" hidden="1" x14ac:dyDescent="0.3">
      <c r="A870" s="31"/>
      <c r="B870" s="32"/>
      <c r="C870" s="32"/>
      <c r="D870" s="537" t="s">
        <v>15</v>
      </c>
      <c r="E870" s="33"/>
      <c r="F870" s="33">
        <f>F871</f>
        <v>0</v>
      </c>
      <c r="G870" s="33">
        <f>G871</f>
        <v>0</v>
      </c>
      <c r="H870" s="33" t="e">
        <f>H871</f>
        <v>#REF!</v>
      </c>
      <c r="I870" s="33" t="e">
        <f>I871</f>
        <v>#REF!</v>
      </c>
      <c r="J870" s="34"/>
      <c r="K870" s="25"/>
    </row>
    <row r="871" spans="1:11" ht="29.25" hidden="1" customHeight="1" x14ac:dyDescent="0.25">
      <c r="A871" s="76"/>
      <c r="B871" s="149"/>
      <c r="C871" s="149"/>
      <c r="D871" s="443"/>
      <c r="E871" s="444"/>
      <c r="F871" s="130"/>
      <c r="G871" s="445"/>
      <c r="H871" s="54" t="e">
        <f>G871-#REF!</f>
        <v>#REF!</v>
      </c>
      <c r="I871" s="54" t="e">
        <f>F871-#REF!</f>
        <v>#REF!</v>
      </c>
      <c r="J871" s="89"/>
      <c r="K871" s="25"/>
    </row>
    <row r="872" spans="1:11" hidden="1" x14ac:dyDescent="0.25">
      <c r="A872" s="84"/>
      <c r="B872" s="85"/>
      <c r="C872" s="447"/>
      <c r="D872" s="550"/>
      <c r="E872" s="448"/>
      <c r="F872" s="137"/>
      <c r="G872" s="137"/>
      <c r="H872" s="270"/>
      <c r="I872" s="270"/>
      <c r="J872" s="271"/>
      <c r="K872" s="25"/>
    </row>
    <row r="873" spans="1:11" hidden="1" x14ac:dyDescent="0.3">
      <c r="A873" s="26" t="s">
        <v>131</v>
      </c>
      <c r="B873" s="26" t="s">
        <v>132</v>
      </c>
      <c r="C873" s="28"/>
      <c r="D873" s="536"/>
      <c r="E873" s="29"/>
      <c r="F873" s="29">
        <f t="shared" ref="F873:I874" si="171">F874</f>
        <v>0</v>
      </c>
      <c r="G873" s="29">
        <f t="shared" si="171"/>
        <v>0</v>
      </c>
      <c r="H873" s="29" t="e">
        <f t="shared" si="171"/>
        <v>#REF!</v>
      </c>
      <c r="I873" s="29" t="e">
        <f t="shared" si="171"/>
        <v>#REF!</v>
      </c>
      <c r="J873" s="30"/>
    </row>
    <row r="874" spans="1:11" hidden="1" x14ac:dyDescent="0.3">
      <c r="A874" s="31"/>
      <c r="B874" s="32"/>
      <c r="C874" s="32"/>
      <c r="D874" s="537" t="s">
        <v>15</v>
      </c>
      <c r="E874" s="33"/>
      <c r="F874" s="33">
        <f t="shared" si="171"/>
        <v>0</v>
      </c>
      <c r="G874" s="33">
        <f t="shared" si="171"/>
        <v>0</v>
      </c>
      <c r="H874" s="33" t="e">
        <f t="shared" si="171"/>
        <v>#REF!</v>
      </c>
      <c r="I874" s="33" t="e">
        <f t="shared" si="171"/>
        <v>#REF!</v>
      </c>
      <c r="J874" s="34"/>
    </row>
    <row r="875" spans="1:11" ht="21.75" hidden="1" customHeight="1" x14ac:dyDescent="0.25">
      <c r="A875" s="76"/>
      <c r="B875" s="149"/>
      <c r="C875" s="149"/>
      <c r="D875" s="449"/>
      <c r="E875" s="444"/>
      <c r="F875" s="130"/>
      <c r="G875" s="445"/>
      <c r="H875" s="54" t="e">
        <f>G875-#REF!</f>
        <v>#REF!</v>
      </c>
      <c r="I875" s="54" t="e">
        <f>F875-#REF!</f>
        <v>#REF!</v>
      </c>
      <c r="J875" s="89"/>
    </row>
    <row r="876" spans="1:11" hidden="1" x14ac:dyDescent="0.25">
      <c r="A876" s="419"/>
      <c r="B876" s="146"/>
      <c r="C876" s="146"/>
      <c r="D876" s="566"/>
      <c r="E876" s="146"/>
      <c r="F876" s="54"/>
      <c r="G876" s="369"/>
      <c r="H876" s="54"/>
      <c r="I876" s="54"/>
      <c r="J876" s="89"/>
    </row>
    <row r="877" spans="1:11" ht="33.75" hidden="1" customHeight="1" x14ac:dyDescent="0.3">
      <c r="A877" s="86" t="s">
        <v>38</v>
      </c>
      <c r="B877" s="120">
        <v>7321</v>
      </c>
      <c r="C877" s="121"/>
      <c r="D877" s="605"/>
      <c r="E877" s="122">
        <f t="shared" ref="E877:I877" si="172">SUM(E878)</f>
        <v>0</v>
      </c>
      <c r="F877" s="122">
        <f t="shared" si="172"/>
        <v>0</v>
      </c>
      <c r="G877" s="122">
        <f t="shared" si="172"/>
        <v>0</v>
      </c>
      <c r="H877" s="122" t="e">
        <f t="shared" si="172"/>
        <v>#REF!</v>
      </c>
      <c r="I877" s="122" t="e">
        <f t="shared" si="172"/>
        <v>#REF!</v>
      </c>
      <c r="J877" s="123"/>
    </row>
    <row r="878" spans="1:11" ht="21.75" hidden="1" customHeight="1" x14ac:dyDescent="0.3">
      <c r="A878" s="56"/>
      <c r="B878" s="56"/>
      <c r="C878" s="56"/>
      <c r="D878" s="606" t="s">
        <v>14</v>
      </c>
      <c r="E878" s="43"/>
      <c r="F878" s="294">
        <f>SUM(F879:F880)</f>
        <v>0</v>
      </c>
      <c r="G878" s="294">
        <f>SUM(G879:G880)</f>
        <v>0</v>
      </c>
      <c r="H878" s="294" t="e">
        <f>SUM(H879:H880)</f>
        <v>#REF!</v>
      </c>
      <c r="I878" s="294" t="e">
        <f>SUM(I879:I880)</f>
        <v>#REF!</v>
      </c>
      <c r="J878" s="64"/>
    </row>
    <row r="879" spans="1:11" ht="50.25" hidden="1" customHeight="1" x14ac:dyDescent="0.25">
      <c r="A879" s="419"/>
      <c r="B879" s="146"/>
      <c r="C879" s="146"/>
      <c r="D879" s="446"/>
      <c r="E879" s="146"/>
      <c r="F879" s="54"/>
      <c r="G879" s="54"/>
      <c r="H879" s="54" t="e">
        <f>G879-#REF!</f>
        <v>#REF!</v>
      </c>
      <c r="I879" s="54" t="e">
        <f>F879-#REF!</f>
        <v>#REF!</v>
      </c>
      <c r="J879" s="89"/>
    </row>
    <row r="880" spans="1:11" ht="136.5" hidden="1" customHeight="1" x14ac:dyDescent="0.25">
      <c r="A880" s="419"/>
      <c r="B880" s="146"/>
      <c r="C880" s="146"/>
      <c r="D880" s="446"/>
      <c r="E880" s="146"/>
      <c r="F880" s="54"/>
      <c r="G880" s="54"/>
      <c r="H880" s="54" t="e">
        <f>G880-#REF!</f>
        <v>#REF!</v>
      </c>
      <c r="I880" s="54" t="e">
        <f>F880-#REF!</f>
        <v>#REF!</v>
      </c>
      <c r="J880" s="89"/>
    </row>
    <row r="881" spans="1:12" hidden="1" x14ac:dyDescent="0.25">
      <c r="A881" s="419"/>
      <c r="B881" s="146"/>
      <c r="C881" s="146"/>
      <c r="D881" s="656"/>
      <c r="E881" s="146"/>
      <c r="F881" s="54"/>
      <c r="G881" s="369"/>
      <c r="H881" s="54"/>
      <c r="I881" s="54"/>
      <c r="J881" s="89"/>
    </row>
    <row r="882" spans="1:12" hidden="1" x14ac:dyDescent="0.25">
      <c r="A882" s="86" t="s">
        <v>42</v>
      </c>
      <c r="B882" s="154" t="s">
        <v>43</v>
      </c>
      <c r="C882" s="97"/>
      <c r="D882" s="98"/>
      <c r="E882" s="155"/>
      <c r="F882" s="99">
        <f t="shared" ref="F882:I883" si="173">F883</f>
        <v>0</v>
      </c>
      <c r="G882" s="99">
        <f t="shared" si="173"/>
        <v>0</v>
      </c>
      <c r="H882" s="99" t="e">
        <f t="shared" si="173"/>
        <v>#REF!</v>
      </c>
      <c r="I882" s="155" t="e">
        <f t="shared" si="173"/>
        <v>#REF!</v>
      </c>
      <c r="J882" s="156"/>
    </row>
    <row r="883" spans="1:12" hidden="1" x14ac:dyDescent="0.3">
      <c r="A883" s="148"/>
      <c r="B883" s="133"/>
      <c r="C883" s="133"/>
      <c r="D883" s="557" t="s">
        <v>16</v>
      </c>
      <c r="E883" s="157"/>
      <c r="F883" s="46">
        <f t="shared" si="173"/>
        <v>0</v>
      </c>
      <c r="G883" s="46">
        <f t="shared" si="173"/>
        <v>0</v>
      </c>
      <c r="H883" s="46" t="e">
        <f t="shared" si="173"/>
        <v>#REF!</v>
      </c>
      <c r="I883" s="157" t="e">
        <f t="shared" si="173"/>
        <v>#REF!</v>
      </c>
      <c r="J883" s="158"/>
    </row>
    <row r="884" spans="1:12" hidden="1" x14ac:dyDescent="0.25">
      <c r="A884" s="419"/>
      <c r="B884" s="146"/>
      <c r="C884" s="146"/>
      <c r="D884" s="626"/>
      <c r="E884" s="146"/>
      <c r="F884" s="54"/>
      <c r="G884" s="369"/>
      <c r="H884" s="54" t="e">
        <f>G884-#REF!</f>
        <v>#REF!</v>
      </c>
      <c r="I884" s="54" t="e">
        <f>F884-#REF!</f>
        <v>#REF!</v>
      </c>
      <c r="J884" s="89"/>
      <c r="K884" s="25" t="e">
        <f>H884+H129</f>
        <v>#REF!</v>
      </c>
      <c r="L884" s="25" t="e">
        <f>I884+I129</f>
        <v>#REF!</v>
      </c>
    </row>
    <row r="885" spans="1:12" hidden="1" x14ac:dyDescent="0.25">
      <c r="A885" s="419"/>
      <c r="B885" s="146"/>
      <c r="C885" s="146"/>
      <c r="D885" s="656"/>
      <c r="E885" s="146"/>
      <c r="F885" s="54"/>
      <c r="G885" s="369"/>
      <c r="H885" s="54"/>
      <c r="I885" s="54"/>
      <c r="J885" s="89"/>
    </row>
    <row r="886" spans="1:12" hidden="1" x14ac:dyDescent="0.25">
      <c r="A886" s="26" t="s">
        <v>50</v>
      </c>
      <c r="B886" s="150">
        <v>7370</v>
      </c>
      <c r="C886" s="165"/>
      <c r="D886" s="98"/>
      <c r="E886" s="99">
        <f t="shared" ref="E886:I886" si="174">E887+E889</f>
        <v>0</v>
      </c>
      <c r="F886" s="99">
        <f t="shared" si="174"/>
        <v>0</v>
      </c>
      <c r="G886" s="99">
        <f t="shared" si="174"/>
        <v>0</v>
      </c>
      <c r="H886" s="99" t="e">
        <f t="shared" si="174"/>
        <v>#REF!</v>
      </c>
      <c r="I886" s="99" t="e">
        <f t="shared" si="174"/>
        <v>#REF!</v>
      </c>
      <c r="J886" s="100"/>
    </row>
    <row r="887" spans="1:12" hidden="1" x14ac:dyDescent="0.3">
      <c r="A887" s="166"/>
      <c r="B887" s="167"/>
      <c r="C887" s="168"/>
      <c r="D887" s="557" t="s">
        <v>16</v>
      </c>
      <c r="E887" s="46">
        <f>E888</f>
        <v>0</v>
      </c>
      <c r="F887" s="46">
        <f>F888</f>
        <v>0</v>
      </c>
      <c r="G887" s="46">
        <f>G888</f>
        <v>0</v>
      </c>
      <c r="H887" s="46" t="e">
        <f>SUM(H888)</f>
        <v>#REF!</v>
      </c>
      <c r="I887" s="46" t="e">
        <f>SUM(I888)</f>
        <v>#REF!</v>
      </c>
      <c r="J887" s="47"/>
    </row>
    <row r="888" spans="1:12" hidden="1" x14ac:dyDescent="0.25">
      <c r="A888" s="419"/>
      <c r="B888" s="146"/>
      <c r="C888" s="146"/>
      <c r="D888" s="446"/>
      <c r="E888" s="146"/>
      <c r="F888" s="54"/>
      <c r="G888" s="369"/>
      <c r="H888" s="54" t="e">
        <f>G888-#REF!</f>
        <v>#REF!</v>
      </c>
      <c r="I888" s="54" t="e">
        <f>F888-#REF!</f>
        <v>#REF!</v>
      </c>
      <c r="J888" s="89"/>
    </row>
    <row r="889" spans="1:12" ht="12" hidden="1" customHeight="1" x14ac:dyDescent="0.25">
      <c r="A889" s="419"/>
      <c r="B889" s="146"/>
      <c r="C889" s="146"/>
      <c r="D889" s="656"/>
      <c r="E889" s="146"/>
      <c r="F889" s="54"/>
      <c r="G889" s="369"/>
      <c r="H889" s="54"/>
      <c r="I889" s="54"/>
      <c r="J889" s="89"/>
    </row>
    <row r="890" spans="1:12" hidden="1" x14ac:dyDescent="0.25">
      <c r="A890" s="285" t="s">
        <v>133</v>
      </c>
      <c r="B890" s="285"/>
      <c r="C890" s="285"/>
      <c r="D890" s="286" t="s">
        <v>59</v>
      </c>
      <c r="E890" s="407"/>
      <c r="F890" s="407">
        <f>F891+F896+F901</f>
        <v>0</v>
      </c>
      <c r="G890" s="407">
        <f>G891+G896+G901</f>
        <v>0</v>
      </c>
      <c r="H890" s="407" t="e">
        <f>H891+H896+H901</f>
        <v>#REF!</v>
      </c>
      <c r="I890" s="407" t="e">
        <f>I891+I896+I901</f>
        <v>#REF!</v>
      </c>
      <c r="J890" s="275"/>
    </row>
    <row r="891" spans="1:12" hidden="1" x14ac:dyDescent="0.25">
      <c r="A891" s="422" t="s">
        <v>60</v>
      </c>
      <c r="B891" s="450" t="s">
        <v>61</v>
      </c>
      <c r="C891" s="450"/>
      <c r="D891" s="411"/>
      <c r="E891" s="412"/>
      <c r="F891" s="412">
        <f t="shared" ref="F891:I892" si="175">F892</f>
        <v>0</v>
      </c>
      <c r="G891" s="412">
        <f t="shared" si="175"/>
        <v>0</v>
      </c>
      <c r="H891" s="412" t="e">
        <f t="shared" si="175"/>
        <v>#REF!</v>
      </c>
      <c r="I891" s="412" t="e">
        <f t="shared" si="175"/>
        <v>#REF!</v>
      </c>
      <c r="J891" s="275"/>
    </row>
    <row r="892" spans="1:12" hidden="1" x14ac:dyDescent="0.25">
      <c r="A892" s="343"/>
      <c r="B892" s="343"/>
      <c r="C892" s="343"/>
      <c r="D892" s="651" t="s">
        <v>15</v>
      </c>
      <c r="E892" s="106"/>
      <c r="F892" s="292">
        <f t="shared" si="175"/>
        <v>0</v>
      </c>
      <c r="G892" s="292">
        <f t="shared" si="175"/>
        <v>0</v>
      </c>
      <c r="H892" s="292" t="e">
        <f t="shared" si="175"/>
        <v>#REF!</v>
      </c>
      <c r="I892" s="292" t="e">
        <f t="shared" si="175"/>
        <v>#REF!</v>
      </c>
      <c r="J892" s="275"/>
    </row>
    <row r="893" spans="1:12" ht="21.75" hidden="1" customHeight="1" x14ac:dyDescent="0.25">
      <c r="A893" s="313"/>
      <c r="B893" s="313"/>
      <c r="C893" s="313"/>
      <c r="D893" s="449"/>
      <c r="E893" s="39"/>
      <c r="F893" s="39"/>
      <c r="G893" s="39"/>
      <c r="H893" s="39" t="e">
        <f>G893-#REF!</f>
        <v>#REF!</v>
      </c>
      <c r="I893" s="39" t="e">
        <f>F893-#REF!</f>
        <v>#REF!</v>
      </c>
      <c r="J893" s="89"/>
    </row>
    <row r="894" spans="1:12" hidden="1" x14ac:dyDescent="0.25">
      <c r="A894" s="313"/>
      <c r="B894" s="313"/>
      <c r="C894" s="313"/>
      <c r="D894" s="657"/>
      <c r="E894" s="39"/>
      <c r="F894" s="39"/>
      <c r="G894" s="39"/>
      <c r="H894" s="39"/>
      <c r="I894" s="39"/>
      <c r="J894" s="89"/>
    </row>
    <row r="895" spans="1:12" hidden="1" x14ac:dyDescent="0.25">
      <c r="A895" s="313"/>
      <c r="B895" s="313"/>
      <c r="C895" s="313"/>
      <c r="D895" s="657"/>
      <c r="E895" s="39"/>
      <c r="F895" s="278"/>
      <c r="G895" s="278"/>
      <c r="H895" s="278"/>
      <c r="I895" s="278"/>
      <c r="J895" s="275"/>
    </row>
    <row r="896" spans="1:12" ht="30.75" hidden="1" customHeight="1" x14ac:dyDescent="0.25">
      <c r="A896" s="422" t="s">
        <v>62</v>
      </c>
      <c r="B896" s="409">
        <v>1010</v>
      </c>
      <c r="C896" s="450"/>
      <c r="D896" s="658"/>
      <c r="E896" s="451"/>
      <c r="F896" s="412">
        <f>F897</f>
        <v>0</v>
      </c>
      <c r="G896" s="412">
        <f>G897</f>
        <v>0</v>
      </c>
      <c r="H896" s="412" t="e">
        <f>H897</f>
        <v>#REF!</v>
      </c>
      <c r="I896" s="412" t="e">
        <f>I897</f>
        <v>#REF!</v>
      </c>
      <c r="J896" s="275"/>
    </row>
    <row r="897" spans="1:10" hidden="1" x14ac:dyDescent="0.25">
      <c r="A897" s="343"/>
      <c r="B897" s="343"/>
      <c r="C897" s="343"/>
      <c r="D897" s="651" t="s">
        <v>13</v>
      </c>
      <c r="E897" s="106"/>
      <c r="F897" s="292">
        <f>F898+F899</f>
        <v>0</v>
      </c>
      <c r="G897" s="292">
        <f>G898+G899</f>
        <v>0</v>
      </c>
      <c r="H897" s="292" t="e">
        <f>H898+H899</f>
        <v>#REF!</v>
      </c>
      <c r="I897" s="292" t="e">
        <f>I898+I899</f>
        <v>#REF!</v>
      </c>
      <c r="J897" s="275"/>
    </row>
    <row r="898" spans="1:10" hidden="1" x14ac:dyDescent="0.25">
      <c r="A898" s="313"/>
      <c r="B898" s="313"/>
      <c r="C898" s="313"/>
      <c r="D898" s="446"/>
      <c r="E898" s="54"/>
      <c r="F898" s="375"/>
      <c r="G898" s="375"/>
      <c r="H898" s="375" t="e">
        <f>G898-#REF!</f>
        <v>#REF!</v>
      </c>
      <c r="I898" s="375" t="e">
        <f>F898-#REF!</f>
        <v>#REF!</v>
      </c>
      <c r="J898" s="376"/>
    </row>
    <row r="899" spans="1:10" ht="13.5" hidden="1" customHeight="1" x14ac:dyDescent="0.3">
      <c r="A899" s="313"/>
      <c r="B899" s="313"/>
      <c r="C899" s="313"/>
      <c r="D899" s="599"/>
      <c r="E899" s="39"/>
      <c r="F899" s="375"/>
      <c r="G899" s="375"/>
      <c r="H899" s="375" t="e">
        <f>G899-#REF!</f>
        <v>#REF!</v>
      </c>
      <c r="I899" s="375" t="e">
        <f>F899-#REF!</f>
        <v>#REF!</v>
      </c>
      <c r="J899" s="376"/>
    </row>
    <row r="900" spans="1:10" ht="14.25" hidden="1" customHeight="1" x14ac:dyDescent="0.25">
      <c r="A900" s="313"/>
      <c r="B900" s="313"/>
      <c r="C900" s="313"/>
      <c r="D900" s="657"/>
      <c r="E900" s="39"/>
      <c r="F900" s="375"/>
      <c r="G900" s="375"/>
      <c r="H900" s="375"/>
      <c r="I900" s="375"/>
      <c r="J900" s="376"/>
    </row>
    <row r="901" spans="1:10" ht="21.75" hidden="1" customHeight="1" x14ac:dyDescent="0.25">
      <c r="A901" s="408" t="s">
        <v>64</v>
      </c>
      <c r="B901" s="409">
        <v>1021</v>
      </c>
      <c r="C901" s="450"/>
      <c r="D901" s="658"/>
      <c r="E901" s="451"/>
      <c r="F901" s="412">
        <f>F902+F906</f>
        <v>0</v>
      </c>
      <c r="G901" s="412">
        <f>G902+G906</f>
        <v>0</v>
      </c>
      <c r="H901" s="412" t="e">
        <f>H902+H906</f>
        <v>#REF!</v>
      </c>
      <c r="I901" s="412" t="e">
        <f>I902+I906</f>
        <v>#REF!</v>
      </c>
      <c r="J901" s="275"/>
    </row>
    <row r="902" spans="1:10" ht="21.75" hidden="1" customHeight="1" x14ac:dyDescent="0.25">
      <c r="A902" s="186"/>
      <c r="B902" s="186"/>
      <c r="C902" s="343"/>
      <c r="D902" s="602" t="s">
        <v>13</v>
      </c>
      <c r="E902" s="106"/>
      <c r="F902" s="292">
        <f>SUM(F903:F908)</f>
        <v>0</v>
      </c>
      <c r="G902" s="292">
        <f>SUM(G903:G908)</f>
        <v>0</v>
      </c>
      <c r="H902" s="292" t="e">
        <f>SUM(H903:H908)</f>
        <v>#REF!</v>
      </c>
      <c r="I902" s="292" t="e">
        <f>SUM(I903:I908)</f>
        <v>#REF!</v>
      </c>
      <c r="J902" s="275"/>
    </row>
    <row r="903" spans="1:10" ht="21.75" hidden="1" customHeight="1" x14ac:dyDescent="0.25">
      <c r="A903" s="452"/>
      <c r="B903" s="173"/>
      <c r="C903" s="313"/>
      <c r="D903" s="446"/>
      <c r="E903" s="39"/>
      <c r="F903" s="375"/>
      <c r="G903" s="375"/>
      <c r="H903" s="375" t="e">
        <f>G903-#REF!</f>
        <v>#REF!</v>
      </c>
      <c r="I903" s="375" t="e">
        <f>F903-#REF!</f>
        <v>#REF!</v>
      </c>
      <c r="J903" s="376"/>
    </row>
    <row r="904" spans="1:10" hidden="1" x14ac:dyDescent="0.25">
      <c r="A904" s="452"/>
      <c r="B904" s="173"/>
      <c r="C904" s="313"/>
      <c r="D904" s="659"/>
      <c r="E904" s="39"/>
      <c r="F904" s="375"/>
      <c r="G904" s="375"/>
      <c r="H904" s="375" t="e">
        <f>G904-#REF!</f>
        <v>#REF!</v>
      </c>
      <c r="I904" s="375" t="e">
        <f>F904-#REF!</f>
        <v>#REF!</v>
      </c>
      <c r="J904" s="376"/>
    </row>
    <row r="905" spans="1:10" ht="13.5" hidden="1" customHeight="1" x14ac:dyDescent="0.25">
      <c r="A905" s="452"/>
      <c r="B905" s="173"/>
      <c r="C905" s="313"/>
      <c r="D905" s="657"/>
      <c r="E905" s="39"/>
      <c r="F905" s="278"/>
      <c r="G905" s="278"/>
      <c r="H905" s="278"/>
      <c r="I905" s="278"/>
      <c r="J905" s="275"/>
    </row>
    <row r="906" spans="1:10" hidden="1" x14ac:dyDescent="0.25">
      <c r="A906" s="186"/>
      <c r="B906" s="186"/>
      <c r="C906" s="343"/>
      <c r="D906" s="602" t="s">
        <v>15</v>
      </c>
      <c r="E906" s="106"/>
      <c r="F906" s="292">
        <f>SUM(F907:F912)</f>
        <v>0</v>
      </c>
      <c r="G906" s="292">
        <f>SUM(G907:G912)</f>
        <v>0</v>
      </c>
      <c r="H906" s="292" t="e">
        <f>SUM(H907:H912)</f>
        <v>#REF!</v>
      </c>
      <c r="I906" s="292" t="e">
        <f>SUM(I907:I912)</f>
        <v>#REF!</v>
      </c>
      <c r="J906" s="275"/>
    </row>
    <row r="907" spans="1:10" hidden="1" x14ac:dyDescent="0.25">
      <c r="A907" s="173"/>
      <c r="B907" s="173"/>
      <c r="C907" s="313"/>
      <c r="D907" s="551"/>
      <c r="E907" s="54"/>
      <c r="F907" s="39"/>
      <c r="G907" s="39"/>
      <c r="H907" s="39" t="e">
        <f>G907-#REF!</f>
        <v>#REF!</v>
      </c>
      <c r="I907" s="39" t="e">
        <f>F907-#REF!</f>
        <v>#REF!</v>
      </c>
      <c r="J907" s="89"/>
    </row>
    <row r="908" spans="1:10" hidden="1" x14ac:dyDescent="0.25">
      <c r="A908" s="173"/>
      <c r="B908" s="173"/>
      <c r="C908" s="313"/>
      <c r="D908" s="551"/>
      <c r="E908" s="54"/>
      <c r="F908" s="39"/>
      <c r="G908" s="39"/>
      <c r="H908" s="39" t="e">
        <f>G908-#REF!</f>
        <v>#REF!</v>
      </c>
      <c r="I908" s="39" t="e">
        <f>F908-#REF!</f>
        <v>#REF!</v>
      </c>
      <c r="J908" s="89"/>
    </row>
    <row r="909" spans="1:10" hidden="1" x14ac:dyDescent="0.25">
      <c r="A909" s="173"/>
      <c r="B909" s="173"/>
      <c r="C909" s="313"/>
      <c r="D909" s="660"/>
      <c r="E909" s="54"/>
      <c r="F909" s="39"/>
      <c r="G909" s="39"/>
      <c r="H909" s="39" t="e">
        <f>G909-#REF!</f>
        <v>#REF!</v>
      </c>
      <c r="I909" s="39" t="e">
        <f>F909-#REF!</f>
        <v>#REF!</v>
      </c>
      <c r="J909" s="89"/>
    </row>
    <row r="910" spans="1:10" hidden="1" x14ac:dyDescent="0.25">
      <c r="A910" s="173"/>
      <c r="B910" s="173"/>
      <c r="C910" s="313"/>
      <c r="D910" s="661"/>
      <c r="E910" s="54"/>
      <c r="F910" s="39"/>
      <c r="G910" s="39"/>
      <c r="H910" s="39" t="e">
        <f>G910-#REF!</f>
        <v>#REF!</v>
      </c>
      <c r="I910" s="39" t="e">
        <f>F910-#REF!</f>
        <v>#REF!</v>
      </c>
      <c r="J910" s="89"/>
    </row>
    <row r="911" spans="1:10" hidden="1" x14ac:dyDescent="0.25">
      <c r="A911" s="313"/>
      <c r="B911" s="313"/>
      <c r="C911" s="313"/>
      <c r="D911" s="661"/>
      <c r="E911" s="54"/>
      <c r="F911" s="39"/>
      <c r="G911" s="39"/>
      <c r="H911" s="39" t="e">
        <f>G911-#REF!</f>
        <v>#REF!</v>
      </c>
      <c r="I911" s="39" t="e">
        <f>F911-#REF!</f>
        <v>#REF!</v>
      </c>
      <c r="J911" s="89"/>
    </row>
    <row r="912" spans="1:10" ht="12" hidden="1" customHeight="1" x14ac:dyDescent="0.25">
      <c r="A912" s="313"/>
      <c r="B912" s="313"/>
      <c r="C912" s="313"/>
      <c r="D912" s="662"/>
      <c r="E912" s="54"/>
      <c r="F912" s="39"/>
      <c r="G912" s="39"/>
      <c r="H912" s="39" t="e">
        <f>G912-#REF!</f>
        <v>#REF!</v>
      </c>
      <c r="I912" s="39" t="e">
        <f>F912-#REF!</f>
        <v>#REF!</v>
      </c>
      <c r="J912" s="89"/>
    </row>
    <row r="913" spans="1:10" hidden="1" x14ac:dyDescent="0.25">
      <c r="A913" s="453" t="s">
        <v>134</v>
      </c>
      <c r="B913" s="453"/>
      <c r="C913" s="453"/>
      <c r="D913" s="201" t="s">
        <v>135</v>
      </c>
      <c r="E913" s="273">
        <f>E925</f>
        <v>0</v>
      </c>
      <c r="F913" s="273">
        <f>F914+F925</f>
        <v>0</v>
      </c>
      <c r="G913" s="273">
        <f>G914+G925</f>
        <v>0</v>
      </c>
      <c r="H913" s="273" t="e">
        <f>H914+H925</f>
        <v>#REF!</v>
      </c>
      <c r="I913" s="273" t="e">
        <f>I914+I925</f>
        <v>#REF!</v>
      </c>
      <c r="J913" s="209"/>
    </row>
    <row r="914" spans="1:10" hidden="1" x14ac:dyDescent="0.25">
      <c r="A914" s="409">
        <v>1011080</v>
      </c>
      <c r="B914" s="409">
        <v>1080</v>
      </c>
      <c r="C914" s="409"/>
      <c r="D914" s="454"/>
      <c r="E914" s="413"/>
      <c r="F914" s="412">
        <f>F915</f>
        <v>0</v>
      </c>
      <c r="G914" s="412">
        <f>G915</f>
        <v>0</v>
      </c>
      <c r="H914" s="412" t="e">
        <f>H915</f>
        <v>#REF!</v>
      </c>
      <c r="I914" s="412" t="e">
        <f>I915</f>
        <v>#REF!</v>
      </c>
      <c r="J914" s="275"/>
    </row>
    <row r="915" spans="1:10" hidden="1" x14ac:dyDescent="0.3">
      <c r="A915" s="455"/>
      <c r="B915" s="455"/>
      <c r="C915" s="456"/>
      <c r="D915" s="557" t="s">
        <v>15</v>
      </c>
      <c r="E915" s="457"/>
      <c r="F915" s="292">
        <f>SUM(F916:F917)</f>
        <v>0</v>
      </c>
      <c r="G915" s="292">
        <f>SUM(G916:G917)</f>
        <v>0</v>
      </c>
      <c r="H915" s="292" t="e">
        <f>SUM(H916:H917)</f>
        <v>#REF!</v>
      </c>
      <c r="I915" s="292" t="e">
        <f>SUM(I916:I917)</f>
        <v>#REF!</v>
      </c>
      <c r="J915" s="275"/>
    </row>
    <row r="916" spans="1:10" hidden="1" x14ac:dyDescent="0.25">
      <c r="A916" s="173"/>
      <c r="B916" s="173"/>
      <c r="C916" s="173"/>
      <c r="D916" s="443"/>
      <c r="E916" s="77"/>
      <c r="F916" s="39"/>
      <c r="G916" s="39"/>
      <c r="H916" s="39" t="e">
        <f>G916-#REF!</f>
        <v>#REF!</v>
      </c>
      <c r="I916" s="40" t="e">
        <f>F916-#REF!</f>
        <v>#REF!</v>
      </c>
      <c r="J916" s="41"/>
    </row>
    <row r="917" spans="1:10" ht="14.25" hidden="1" customHeight="1" x14ac:dyDescent="0.25">
      <c r="A917" s="173"/>
      <c r="B917" s="173"/>
      <c r="C917" s="173"/>
      <c r="D917" s="277"/>
      <c r="E917" s="77"/>
      <c r="F917" s="180"/>
      <c r="G917" s="180"/>
      <c r="H917" s="180"/>
      <c r="I917" s="261"/>
      <c r="J917" s="107"/>
    </row>
    <row r="918" spans="1:10" hidden="1" x14ac:dyDescent="0.25">
      <c r="A918" s="423">
        <v>1014060</v>
      </c>
      <c r="B918" s="450">
        <v>4060</v>
      </c>
      <c r="C918" s="450"/>
      <c r="D918" s="411"/>
      <c r="E918" s="412"/>
      <c r="F918" s="458">
        <f>F922+F919</f>
        <v>0</v>
      </c>
      <c r="G918" s="458">
        <f>G922+G919</f>
        <v>0</v>
      </c>
      <c r="H918" s="458" t="e">
        <f>H922+H919</f>
        <v>#REF!</v>
      </c>
      <c r="I918" s="458" t="e">
        <f>I922+I919</f>
        <v>#REF!</v>
      </c>
      <c r="J918" s="64"/>
    </row>
    <row r="919" spans="1:10" hidden="1" x14ac:dyDescent="0.3">
      <c r="A919" s="455"/>
      <c r="B919" s="455"/>
      <c r="C919" s="456"/>
      <c r="D919" s="557" t="s">
        <v>22</v>
      </c>
      <c r="E919" s="457"/>
      <c r="F919" s="63">
        <f>SUM(F920:F921)</f>
        <v>0</v>
      </c>
      <c r="G919" s="63">
        <f>SUM(G920:G921)</f>
        <v>0</v>
      </c>
      <c r="H919" s="63" t="e">
        <f>SUM(H920:H921)</f>
        <v>#REF!</v>
      </c>
      <c r="I919" s="63" t="e">
        <f>SUM(I920:I921)</f>
        <v>#REF!</v>
      </c>
      <c r="J919" s="64"/>
    </row>
    <row r="920" spans="1:10" hidden="1" x14ac:dyDescent="0.25">
      <c r="A920" s="293"/>
      <c r="B920" s="313"/>
      <c r="C920" s="313"/>
      <c r="D920" s="540"/>
      <c r="E920" s="278"/>
      <c r="F920" s="39"/>
      <c r="G920" s="39"/>
      <c r="H920" s="39" t="e">
        <f>G920-#REF!</f>
        <v>#REF!</v>
      </c>
      <c r="I920" s="39" t="e">
        <f>F920-#REF!</f>
        <v>#REF!</v>
      </c>
      <c r="J920" s="89"/>
    </row>
    <row r="921" spans="1:10" hidden="1" x14ac:dyDescent="0.25">
      <c r="A921" s="293"/>
      <c r="B921" s="313"/>
      <c r="C921" s="313"/>
      <c r="D921" s="459"/>
      <c r="E921" s="278"/>
      <c r="F921" s="180"/>
      <c r="G921" s="180"/>
      <c r="H921" s="180"/>
      <c r="I921" s="180"/>
      <c r="J921" s="64"/>
    </row>
    <row r="922" spans="1:10" hidden="1" x14ac:dyDescent="0.3">
      <c r="A922" s="455"/>
      <c r="B922" s="455"/>
      <c r="C922" s="456"/>
      <c r="D922" s="557" t="s">
        <v>15</v>
      </c>
      <c r="E922" s="457"/>
      <c r="F922" s="63">
        <f>SUM(F923:F924)</f>
        <v>0</v>
      </c>
      <c r="G922" s="63">
        <f>SUM(G923:G924)</f>
        <v>0</v>
      </c>
      <c r="H922" s="63" t="e">
        <f>SUM(H923:H924)</f>
        <v>#REF!</v>
      </c>
      <c r="I922" s="63" t="e">
        <f>SUM(I923:I924)</f>
        <v>#REF!</v>
      </c>
      <c r="J922" s="64"/>
    </row>
    <row r="923" spans="1:10" hidden="1" x14ac:dyDescent="0.25">
      <c r="A923" s="426"/>
      <c r="B923" s="426"/>
      <c r="C923" s="460"/>
      <c r="D923" s="540"/>
      <c r="E923" s="54"/>
      <c r="F923" s="54"/>
      <c r="G923" s="54"/>
      <c r="H923" s="296" t="e">
        <f>G923-#REF!</f>
        <v>#REF!</v>
      </c>
      <c r="I923" s="296" t="e">
        <f>F923-#REF!</f>
        <v>#REF!</v>
      </c>
      <c r="J923" s="335"/>
    </row>
    <row r="924" spans="1:10" hidden="1" x14ac:dyDescent="0.25">
      <c r="A924" s="426"/>
      <c r="B924" s="426"/>
      <c r="C924" s="460"/>
      <c r="D924" s="540"/>
      <c r="E924" s="54"/>
      <c r="F924" s="54"/>
      <c r="G924" s="54"/>
      <c r="H924" s="296" t="e">
        <f>G924-#REF!</f>
        <v>#REF!</v>
      </c>
      <c r="I924" s="296" t="e">
        <f>F924-#REF!</f>
        <v>#REF!</v>
      </c>
      <c r="J924" s="335"/>
    </row>
    <row r="925" spans="1:10" hidden="1" x14ac:dyDescent="0.25">
      <c r="A925" s="408" t="s">
        <v>83</v>
      </c>
      <c r="B925" s="409">
        <v>4082</v>
      </c>
      <c r="C925" s="410" t="s">
        <v>136</v>
      </c>
      <c r="D925" s="411"/>
      <c r="E925" s="412">
        <f t="shared" ref="E925:I925" si="176">E926</f>
        <v>0</v>
      </c>
      <c r="F925" s="458">
        <f t="shared" si="176"/>
        <v>0</v>
      </c>
      <c r="G925" s="458">
        <f t="shared" si="176"/>
        <v>0</v>
      </c>
      <c r="H925" s="458" t="e">
        <f t="shared" si="176"/>
        <v>#REF!</v>
      </c>
      <c r="I925" s="458" t="e">
        <f t="shared" si="176"/>
        <v>#REF!</v>
      </c>
      <c r="J925" s="64"/>
    </row>
    <row r="926" spans="1:10" hidden="1" x14ac:dyDescent="0.3">
      <c r="A926" s="211"/>
      <c r="B926" s="211"/>
      <c r="C926" s="211"/>
      <c r="D926" s="557" t="s">
        <v>13</v>
      </c>
      <c r="E926" s="220">
        <f>SUM(E927)</f>
        <v>0</v>
      </c>
      <c r="F926" s="220">
        <f>SUM(F927)</f>
        <v>0</v>
      </c>
      <c r="G926" s="220">
        <f>SUM(G927)</f>
        <v>0</v>
      </c>
      <c r="H926" s="220" t="e">
        <f>SUM(H927:H927)</f>
        <v>#REF!</v>
      </c>
      <c r="I926" s="220" t="e">
        <f>SUM(I927:I927)</f>
        <v>#REF!</v>
      </c>
      <c r="J926" s="221"/>
    </row>
    <row r="927" spans="1:10" hidden="1" x14ac:dyDescent="0.25">
      <c r="A927" s="426"/>
      <c r="B927" s="426"/>
      <c r="C927" s="460"/>
      <c r="D927" s="540"/>
      <c r="E927" s="54"/>
      <c r="F927" s="54"/>
      <c r="G927" s="54"/>
      <c r="H927" s="296" t="e">
        <f>G927-#REF!</f>
        <v>#REF!</v>
      </c>
      <c r="I927" s="296" t="e">
        <f>F927-#REF!</f>
        <v>#REF!</v>
      </c>
      <c r="J927" s="335"/>
    </row>
    <row r="928" spans="1:10" ht="13.5" hidden="1" customHeight="1" x14ac:dyDescent="0.25">
      <c r="A928" s="426"/>
      <c r="B928" s="426"/>
      <c r="C928" s="460"/>
      <c r="D928" s="540"/>
      <c r="E928" s="54"/>
      <c r="F928" s="306"/>
      <c r="G928" s="306"/>
      <c r="H928" s="461"/>
      <c r="I928" s="461"/>
      <c r="J928" s="462"/>
    </row>
    <row r="929" spans="1:11" hidden="1" x14ac:dyDescent="0.3">
      <c r="A929" s="283" t="s">
        <v>87</v>
      </c>
      <c r="B929" s="284"/>
      <c r="C929" s="285"/>
      <c r="D929" s="286" t="s">
        <v>88</v>
      </c>
      <c r="E929" s="287"/>
      <c r="F929" s="287">
        <f>F934+F941</f>
        <v>0</v>
      </c>
      <c r="G929" s="287">
        <f>G934+G941</f>
        <v>0</v>
      </c>
      <c r="H929" s="287">
        <f>H934+H941</f>
        <v>0</v>
      </c>
      <c r="I929" s="287">
        <f>I934+I941</f>
        <v>0</v>
      </c>
      <c r="J929" s="288"/>
    </row>
    <row r="930" spans="1:11" hidden="1" x14ac:dyDescent="0.25">
      <c r="A930" s="206">
        <v>3116013</v>
      </c>
      <c r="B930" s="206">
        <v>6013</v>
      </c>
      <c r="C930" s="206"/>
      <c r="D930" s="588"/>
      <c r="E930" s="208"/>
      <c r="F930" s="208">
        <f>F931</f>
        <v>0</v>
      </c>
      <c r="G930" s="208">
        <f>G931</f>
        <v>0</v>
      </c>
      <c r="H930" s="208" t="e">
        <f>H931</f>
        <v>#REF!</v>
      </c>
      <c r="I930" s="208" t="e">
        <f>I931</f>
        <v>#REF!</v>
      </c>
      <c r="J930" s="275"/>
    </row>
    <row r="931" spans="1:11" hidden="1" x14ac:dyDescent="0.3">
      <c r="A931" s="211"/>
      <c r="B931" s="211"/>
      <c r="C931" s="211"/>
      <c r="D931" s="557" t="s">
        <v>22</v>
      </c>
      <c r="E931" s="292"/>
      <c r="F931" s="63">
        <f>F932+F933</f>
        <v>0</v>
      </c>
      <c r="G931" s="63">
        <f>G932+G933</f>
        <v>0</v>
      </c>
      <c r="H931" s="63" t="e">
        <f>H932+H933</f>
        <v>#REF!</v>
      </c>
      <c r="I931" s="63" t="e">
        <f>I932+I933</f>
        <v>#REF!</v>
      </c>
      <c r="J931" s="64"/>
    </row>
    <row r="932" spans="1:11" ht="55.5" hidden="1" customHeight="1" x14ac:dyDescent="0.25">
      <c r="A932" s="212"/>
      <c r="B932" s="212"/>
      <c r="C932" s="212"/>
      <c r="D932" s="640"/>
      <c r="E932" s="278"/>
      <c r="F932" s="39"/>
      <c r="G932" s="39"/>
      <c r="H932" s="39" t="e">
        <f>G932-#REF!</f>
        <v>#REF!</v>
      </c>
      <c r="I932" s="39" t="e">
        <f>F932-#REF!</f>
        <v>#REF!</v>
      </c>
      <c r="J932" s="89"/>
    </row>
    <row r="933" spans="1:11" hidden="1" x14ac:dyDescent="0.25">
      <c r="A933" s="212"/>
      <c r="B933" s="212"/>
      <c r="C933" s="212"/>
      <c r="D933" s="603"/>
      <c r="E933" s="278"/>
      <c r="F933" s="278"/>
      <c r="G933" s="278"/>
      <c r="H933" s="278"/>
      <c r="I933" s="278"/>
      <c r="J933" s="275"/>
    </row>
    <row r="934" spans="1:11" hidden="1" x14ac:dyDescent="0.3">
      <c r="A934" s="206">
        <v>3116030</v>
      </c>
      <c r="B934" s="206">
        <v>6030</v>
      </c>
      <c r="C934" s="206"/>
      <c r="D934" s="605"/>
      <c r="E934" s="208"/>
      <c r="F934" s="95">
        <f>F935</f>
        <v>0</v>
      </c>
      <c r="G934" s="95">
        <f>G935</f>
        <v>0</v>
      </c>
      <c r="H934" s="95">
        <f>H935</f>
        <v>0</v>
      </c>
      <c r="I934" s="95">
        <f>I935</f>
        <v>0</v>
      </c>
      <c r="J934" s="64"/>
    </row>
    <row r="935" spans="1:11" hidden="1" x14ac:dyDescent="0.3">
      <c r="A935" s="211"/>
      <c r="B935" s="211"/>
      <c r="C935" s="211"/>
      <c r="D935" s="557" t="s">
        <v>15</v>
      </c>
      <c r="E935" s="292"/>
      <c r="F935" s="63">
        <f>SUM(F936:F939)</f>
        <v>0</v>
      </c>
      <c r="G935" s="63">
        <f>SUM(G936:G939)</f>
        <v>0</v>
      </c>
      <c r="H935" s="63">
        <f>SUM(H936:H939)</f>
        <v>0</v>
      </c>
      <c r="I935" s="63">
        <f>SUM(I936:I939)</f>
        <v>0</v>
      </c>
      <c r="J935" s="64"/>
    </row>
    <row r="936" spans="1:11" hidden="1" x14ac:dyDescent="0.25">
      <c r="A936" s="426"/>
      <c r="B936" s="426"/>
      <c r="C936" s="460"/>
      <c r="D936" s="443"/>
      <c r="E936" s="39"/>
      <c r="F936" s="39"/>
      <c r="G936" s="39"/>
      <c r="H936" s="296"/>
      <c r="I936" s="296"/>
      <c r="J936" s="335"/>
    </row>
    <row r="937" spans="1:11" hidden="1" x14ac:dyDescent="0.25">
      <c r="A937" s="426"/>
      <c r="B937" s="426"/>
      <c r="C937" s="460"/>
      <c r="D937" s="443"/>
      <c r="E937" s="39"/>
      <c r="F937" s="39"/>
      <c r="G937" s="39"/>
      <c r="H937" s="296"/>
      <c r="I937" s="296"/>
      <c r="J937" s="335"/>
    </row>
    <row r="938" spans="1:11" ht="24" hidden="1" customHeight="1" x14ac:dyDescent="0.25">
      <c r="A938" s="426"/>
      <c r="B938" s="426"/>
      <c r="C938" s="460"/>
      <c r="D938" s="443"/>
      <c r="E938" s="39"/>
      <c r="F938" s="39"/>
      <c r="G938" s="39"/>
      <c r="H938" s="296"/>
      <c r="I938" s="296"/>
      <c r="J938" s="335"/>
    </row>
    <row r="939" spans="1:11" ht="24" hidden="1" customHeight="1" x14ac:dyDescent="0.25">
      <c r="A939" s="426"/>
      <c r="B939" s="426"/>
      <c r="C939" s="460"/>
      <c r="D939" s="443"/>
      <c r="E939" s="39"/>
      <c r="F939" s="39"/>
      <c r="G939" s="39"/>
      <c r="H939" s="296"/>
      <c r="I939" s="296"/>
      <c r="J939" s="335"/>
    </row>
    <row r="940" spans="1:11" hidden="1" x14ac:dyDescent="0.25">
      <c r="A940" s="426"/>
      <c r="B940" s="426"/>
      <c r="C940" s="460"/>
      <c r="D940" s="540"/>
      <c r="E940" s="54"/>
      <c r="F940" s="54"/>
      <c r="G940" s="54"/>
      <c r="H940" s="296"/>
      <c r="I940" s="296"/>
      <c r="J940" s="335"/>
    </row>
    <row r="941" spans="1:11" hidden="1" x14ac:dyDescent="0.3">
      <c r="A941" s="206">
        <v>3118311</v>
      </c>
      <c r="B941" s="206">
        <v>8311</v>
      </c>
      <c r="C941" s="206"/>
      <c r="D941" s="605"/>
      <c r="E941" s="208"/>
      <c r="F941" s="95">
        <f>F942</f>
        <v>0</v>
      </c>
      <c r="G941" s="95">
        <f>G942</f>
        <v>0</v>
      </c>
      <c r="H941" s="95">
        <f>H942</f>
        <v>0</v>
      </c>
      <c r="I941" s="95">
        <f>I942</f>
        <v>0</v>
      </c>
      <c r="J941" s="64"/>
    </row>
    <row r="942" spans="1:11" hidden="1" x14ac:dyDescent="0.3">
      <c r="A942" s="211"/>
      <c r="B942" s="211"/>
      <c r="C942" s="211"/>
      <c r="D942" s="557" t="s">
        <v>14</v>
      </c>
      <c r="E942" s="292"/>
      <c r="F942" s="63">
        <f>SUM(F943:F945)</f>
        <v>0</v>
      </c>
      <c r="G942" s="63">
        <f>SUM(G943:G945)</f>
        <v>0</v>
      </c>
      <c r="H942" s="63">
        <f>SUM(H943:H945)</f>
        <v>0</v>
      </c>
      <c r="I942" s="63">
        <f>SUM(I943:I945)</f>
        <v>0</v>
      </c>
      <c r="J942" s="64"/>
    </row>
    <row r="943" spans="1:11" hidden="1" x14ac:dyDescent="0.25">
      <c r="A943" s="426"/>
      <c r="B943" s="426"/>
      <c r="C943" s="460"/>
      <c r="D943" s="443"/>
      <c r="E943" s="54"/>
      <c r="F943" s="54"/>
      <c r="G943" s="54"/>
      <c r="H943" s="296"/>
      <c r="I943" s="296"/>
      <c r="J943" s="335"/>
      <c r="K943" s="25" t="e">
        <f>H943+#REF!</f>
        <v>#REF!</v>
      </c>
    </row>
    <row r="944" spans="1:11" hidden="1" x14ac:dyDescent="0.25">
      <c r="A944" s="426"/>
      <c r="B944" s="426"/>
      <c r="C944" s="460"/>
      <c r="D944" s="443"/>
      <c r="E944" s="54"/>
      <c r="F944" s="54"/>
      <c r="G944" s="54"/>
      <c r="H944" s="296"/>
      <c r="I944" s="296"/>
      <c r="J944" s="335"/>
      <c r="K944" s="25">
        <f>H944+85000</f>
        <v>85000</v>
      </c>
    </row>
    <row r="945" spans="1:16" hidden="1" x14ac:dyDescent="0.25">
      <c r="A945" s="426"/>
      <c r="B945" s="426"/>
      <c r="C945" s="460"/>
      <c r="D945" s="540"/>
      <c r="E945" s="54"/>
      <c r="F945" s="54"/>
      <c r="G945" s="54"/>
      <c r="H945" s="296"/>
      <c r="I945" s="296"/>
      <c r="J945" s="335"/>
    </row>
    <row r="946" spans="1:16" hidden="1" x14ac:dyDescent="0.25">
      <c r="A946" s="463"/>
      <c r="B946" s="206">
        <v>6040</v>
      </c>
      <c r="C946" s="206"/>
      <c r="D946" s="588"/>
      <c r="E946" s="208"/>
      <c r="F946" s="208">
        <f t="shared" ref="F946:I947" si="177">F947</f>
        <v>0</v>
      </c>
      <c r="G946" s="208">
        <f t="shared" si="177"/>
        <v>0</v>
      </c>
      <c r="H946" s="208" t="e">
        <f t="shared" si="177"/>
        <v>#REF!</v>
      </c>
      <c r="I946" s="208" t="e">
        <f t="shared" si="177"/>
        <v>#REF!</v>
      </c>
      <c r="J946" s="275"/>
    </row>
    <row r="947" spans="1:16" hidden="1" x14ac:dyDescent="0.3">
      <c r="A947" s="426"/>
      <c r="B947" s="211"/>
      <c r="C947" s="211"/>
      <c r="D947" s="557" t="s">
        <v>15</v>
      </c>
      <c r="E947" s="292"/>
      <c r="F947" s="63">
        <f t="shared" si="177"/>
        <v>0</v>
      </c>
      <c r="G947" s="63">
        <f t="shared" si="177"/>
        <v>0</v>
      </c>
      <c r="H947" s="63" t="e">
        <f t="shared" si="177"/>
        <v>#REF!</v>
      </c>
      <c r="I947" s="63" t="e">
        <f t="shared" si="177"/>
        <v>#REF!</v>
      </c>
      <c r="J947" s="64"/>
    </row>
    <row r="948" spans="1:16" hidden="1" x14ac:dyDescent="0.25">
      <c r="A948" s="426"/>
      <c r="B948" s="426"/>
      <c r="C948" s="460"/>
      <c r="D948" s="663"/>
      <c r="E948" s="54"/>
      <c r="F948" s="54"/>
      <c r="G948" s="54"/>
      <c r="H948" s="296" t="e">
        <f>G948-#REF!</f>
        <v>#REF!</v>
      </c>
      <c r="I948" s="296" t="e">
        <f>F948-#REF!</f>
        <v>#REF!</v>
      </c>
      <c r="J948" s="335"/>
    </row>
    <row r="949" spans="1:16" ht="21" hidden="1" x14ac:dyDescent="0.25">
      <c r="A949" s="464"/>
      <c r="B949" s="464"/>
      <c r="C949" s="464"/>
      <c r="D949" s="71" t="s">
        <v>115</v>
      </c>
      <c r="E949" s="401">
        <f t="shared" ref="E949:I949" si="178">E855+E890+E913+E929</f>
        <v>0</v>
      </c>
      <c r="F949" s="401">
        <f t="shared" si="178"/>
        <v>0</v>
      </c>
      <c r="G949" s="401">
        <f t="shared" si="178"/>
        <v>0</v>
      </c>
      <c r="H949" s="401" t="e">
        <f t="shared" si="178"/>
        <v>#REF!</v>
      </c>
      <c r="I949" s="401" t="e">
        <f t="shared" si="178"/>
        <v>#REF!</v>
      </c>
      <c r="J949" s="360"/>
    </row>
    <row r="950" spans="1:16" ht="21" hidden="1" x14ac:dyDescent="0.25">
      <c r="A950" s="465"/>
      <c r="B950" s="465"/>
      <c r="C950" s="465"/>
      <c r="D950" s="664"/>
      <c r="E950" s="466"/>
      <c r="F950" s="466"/>
      <c r="G950" s="466"/>
      <c r="H950" s="466"/>
      <c r="I950" s="466"/>
      <c r="J950" s="467"/>
    </row>
    <row r="951" spans="1:16" ht="52.5" hidden="1" customHeight="1" x14ac:dyDescent="0.3">
      <c r="B951" s="771" t="s">
        <v>137</v>
      </c>
      <c r="C951" s="771"/>
      <c r="D951" s="771"/>
      <c r="E951" s="771"/>
      <c r="F951" s="771"/>
      <c r="G951" s="771"/>
      <c r="H951" s="771"/>
    </row>
    <row r="952" spans="1:16" hidden="1" x14ac:dyDescent="0.25">
      <c r="I952" s="141"/>
      <c r="K952" s="140"/>
      <c r="L952" s="140"/>
      <c r="M952" s="140"/>
      <c r="N952" s="140"/>
      <c r="O952" s="140"/>
      <c r="P952" s="140"/>
    </row>
    <row r="953" spans="1:16" s="141" customFormat="1" ht="38.25" hidden="1" customHeight="1" x14ac:dyDescent="0.25">
      <c r="A953" s="772" t="s">
        <v>3</v>
      </c>
      <c r="B953" s="772" t="s">
        <v>4</v>
      </c>
      <c r="C953" s="772" t="s">
        <v>5</v>
      </c>
      <c r="D953" s="767" t="s">
        <v>6</v>
      </c>
      <c r="E953" s="763" t="s">
        <v>152</v>
      </c>
      <c r="F953" s="769" t="s">
        <v>153</v>
      </c>
      <c r="G953" s="769" t="s">
        <v>154</v>
      </c>
      <c r="H953" s="757" t="s">
        <v>7</v>
      </c>
      <c r="I953" s="758"/>
      <c r="J953" s="17"/>
      <c r="K953" s="140"/>
      <c r="L953" s="140"/>
      <c r="M953" s="140"/>
      <c r="N953" s="140"/>
      <c r="O953" s="140"/>
      <c r="P953" s="140"/>
    </row>
    <row r="954" spans="1:16" s="141" customFormat="1" ht="48.75" hidden="1" customHeight="1" x14ac:dyDescent="0.25">
      <c r="A954" s="773"/>
      <c r="B954" s="773"/>
      <c r="C954" s="773"/>
      <c r="D954" s="768"/>
      <c r="E954" s="764"/>
      <c r="F954" s="770"/>
      <c r="G954" s="770"/>
      <c r="H954" s="18" t="s">
        <v>155</v>
      </c>
      <c r="I954" s="2" t="s">
        <v>8</v>
      </c>
      <c r="J954" s="17"/>
      <c r="K954" s="140"/>
      <c r="L954" s="140"/>
      <c r="M954" s="140"/>
      <c r="N954" s="140"/>
      <c r="O954" s="140"/>
      <c r="P954" s="140"/>
    </row>
    <row r="955" spans="1:16" s="141" customFormat="1" hidden="1" x14ac:dyDescent="0.25">
      <c r="A955" s="405" t="s">
        <v>117</v>
      </c>
      <c r="B955" s="406"/>
      <c r="C955" s="406"/>
      <c r="D955" s="286" t="s">
        <v>68</v>
      </c>
      <c r="E955" s="407">
        <f t="shared" ref="E955:I955" si="179">E956+E960</f>
        <v>0</v>
      </c>
      <c r="F955" s="273">
        <f t="shared" si="179"/>
        <v>0</v>
      </c>
      <c r="G955" s="407">
        <f t="shared" si="179"/>
        <v>0</v>
      </c>
      <c r="H955" s="407" t="e">
        <f t="shared" si="179"/>
        <v>#REF!</v>
      </c>
      <c r="I955" s="407" t="e">
        <f t="shared" si="179"/>
        <v>#REF!</v>
      </c>
      <c r="J955" s="275"/>
      <c r="K955" s="9"/>
      <c r="L955" s="9"/>
      <c r="M955" s="9"/>
      <c r="N955" s="9"/>
      <c r="O955" s="9"/>
      <c r="P955" s="9"/>
    </row>
    <row r="956" spans="1:16" hidden="1" x14ac:dyDescent="0.25">
      <c r="A956" s="408" t="s">
        <v>70</v>
      </c>
      <c r="B956" s="409">
        <v>3124</v>
      </c>
      <c r="C956" s="410" t="s">
        <v>138</v>
      </c>
      <c r="D956" s="411"/>
      <c r="E956" s="412">
        <f t="shared" ref="E956:J956" si="180">E957</f>
        <v>0</v>
      </c>
      <c r="F956" s="413">
        <f t="shared" si="180"/>
        <v>0</v>
      </c>
      <c r="G956" s="412">
        <f t="shared" si="180"/>
        <v>0</v>
      </c>
      <c r="H956" s="412" t="e">
        <f t="shared" si="180"/>
        <v>#REF!</v>
      </c>
      <c r="I956" s="412" t="e">
        <f t="shared" si="180"/>
        <v>#REF!</v>
      </c>
      <c r="J956" s="412">
        <f t="shared" si="180"/>
        <v>0</v>
      </c>
    </row>
    <row r="957" spans="1:16" ht="20.25" hidden="1" x14ac:dyDescent="0.25">
      <c r="A957" s="426"/>
      <c r="B957" s="426"/>
      <c r="C957" s="427"/>
      <c r="D957" s="652" t="s">
        <v>15</v>
      </c>
      <c r="E957" s="308"/>
      <c r="F957" s="294">
        <f>F958</f>
        <v>0</v>
      </c>
      <c r="G957" s="294">
        <f>G958</f>
        <v>0</v>
      </c>
      <c r="H957" s="294" t="e">
        <f>H958</f>
        <v>#REF!</v>
      </c>
      <c r="I957" s="294" t="e">
        <f>I958</f>
        <v>#REF!</v>
      </c>
      <c r="J957" s="64"/>
    </row>
    <row r="958" spans="1:16" ht="20.25" hidden="1" x14ac:dyDescent="0.25">
      <c r="A958" s="426"/>
      <c r="B958" s="426"/>
      <c r="C958" s="427"/>
      <c r="D958" s="550"/>
      <c r="E958" s="308"/>
      <c r="F958" s="54"/>
      <c r="G958" s="54"/>
      <c r="H958" s="54" t="e">
        <f>G958-#REF!</f>
        <v>#REF!</v>
      </c>
      <c r="I958" s="296" t="e">
        <f>F958-#REF!</f>
        <v>#REF!</v>
      </c>
      <c r="J958" s="335"/>
      <c r="K958" s="25"/>
      <c r="L958" s="25"/>
    </row>
    <row r="959" spans="1:16" ht="21" hidden="1" x14ac:dyDescent="0.25">
      <c r="A959" s="399"/>
      <c r="B959" s="400"/>
      <c r="C959" s="400"/>
      <c r="D959" s="71" t="s">
        <v>115</v>
      </c>
      <c r="E959" s="401"/>
      <c r="F959" s="401">
        <f>F955</f>
        <v>0</v>
      </c>
      <c r="G959" s="401">
        <f>G955</f>
        <v>0</v>
      </c>
      <c r="H959" s="401" t="e">
        <f>H955</f>
        <v>#REF!</v>
      </c>
      <c r="I959" s="401" t="e">
        <f>I955</f>
        <v>#REF!</v>
      </c>
      <c r="J959" s="401">
        <f t="shared" ref="J959" si="181">J955</f>
        <v>0</v>
      </c>
    </row>
    <row r="960" spans="1:16" hidden="1" x14ac:dyDescent="0.25">
      <c r="H960" s="747"/>
      <c r="K960" s="25"/>
      <c r="L960" s="25"/>
    </row>
    <row r="961" spans="1:12" x14ac:dyDescent="0.25">
      <c r="H961" s="748"/>
    </row>
    <row r="962" spans="1:12" ht="20.25" hidden="1" customHeight="1" x14ac:dyDescent="0.25">
      <c r="B962" s="751" t="s">
        <v>139</v>
      </c>
      <c r="C962" s="751"/>
      <c r="D962" s="751"/>
      <c r="E962" s="751"/>
      <c r="F962" s="751"/>
      <c r="G962" s="751"/>
      <c r="H962" s="751"/>
      <c r="K962" s="25"/>
      <c r="L962" s="25"/>
    </row>
    <row r="963" spans="1:12" ht="24.75" hidden="1" customHeight="1" x14ac:dyDescent="0.35">
      <c r="B963" s="750" t="s">
        <v>140</v>
      </c>
      <c r="C963" s="750"/>
      <c r="D963" s="750"/>
      <c r="E963" s="750"/>
      <c r="F963" s="750"/>
      <c r="G963" s="750"/>
      <c r="H963" s="750"/>
    </row>
    <row r="964" spans="1:12" hidden="1" x14ac:dyDescent="0.25"/>
    <row r="965" spans="1:12" ht="15.75" hidden="1" customHeight="1" x14ac:dyDescent="0.25">
      <c r="A965" s="752" t="s">
        <v>3</v>
      </c>
      <c r="B965" s="753" t="s">
        <v>4</v>
      </c>
      <c r="C965" s="754" t="s">
        <v>5</v>
      </c>
      <c r="D965" s="755" t="s">
        <v>6</v>
      </c>
      <c r="E965" s="753" t="s">
        <v>122</v>
      </c>
      <c r="F965" s="756" t="s">
        <v>123</v>
      </c>
      <c r="G965" s="756" t="s">
        <v>124</v>
      </c>
      <c r="H965" s="756" t="s">
        <v>7</v>
      </c>
      <c r="I965" s="756"/>
      <c r="J965" s="17"/>
    </row>
    <row r="966" spans="1:12" ht="179.25" hidden="1" customHeight="1" x14ac:dyDescent="0.25">
      <c r="A966" s="752"/>
      <c r="B966" s="752"/>
      <c r="C966" s="754"/>
      <c r="D966" s="755"/>
      <c r="E966" s="753"/>
      <c r="F966" s="756"/>
      <c r="G966" s="756"/>
      <c r="H966" s="18" t="s">
        <v>125</v>
      </c>
      <c r="I966" s="2" t="s">
        <v>8</v>
      </c>
      <c r="J966" s="17"/>
    </row>
    <row r="967" spans="1:12" ht="25.5" hidden="1" customHeight="1" x14ac:dyDescent="0.25">
      <c r="A967" s="240" t="s">
        <v>141</v>
      </c>
      <c r="B967" s="468"/>
      <c r="C967" s="468"/>
      <c r="D967" s="420" t="s">
        <v>10</v>
      </c>
      <c r="E967" s="20"/>
      <c r="F967" s="273">
        <f>F968</f>
        <v>0</v>
      </c>
      <c r="G967" s="407">
        <f>G968</f>
        <v>0</v>
      </c>
      <c r="H967" s="407" t="e">
        <f>H968</f>
        <v>#REF!</v>
      </c>
      <c r="I967" s="407" t="e">
        <f>I968</f>
        <v>#REF!</v>
      </c>
      <c r="J967" s="275"/>
    </row>
    <row r="968" spans="1:12" hidden="1" x14ac:dyDescent="0.25">
      <c r="A968" s="422" t="s">
        <v>142</v>
      </c>
      <c r="B968" s="422">
        <v>7363</v>
      </c>
      <c r="C968" s="422"/>
      <c r="D968" s="665"/>
      <c r="E968" s="469"/>
      <c r="F968" s="413">
        <f>F969+F971</f>
        <v>0</v>
      </c>
      <c r="G968" s="412">
        <f>G969+G971</f>
        <v>0</v>
      </c>
      <c r="H968" s="412" t="e">
        <f>H969+H971</f>
        <v>#REF!</v>
      </c>
      <c r="I968" s="412" t="e">
        <f>I969+I971</f>
        <v>#REF!</v>
      </c>
      <c r="J968" s="275"/>
    </row>
    <row r="969" spans="1:12" hidden="1" x14ac:dyDescent="0.25">
      <c r="A969" s="414"/>
      <c r="B969" s="415"/>
      <c r="C969" s="415"/>
      <c r="D969" s="651" t="s">
        <v>13</v>
      </c>
      <c r="E969" s="106"/>
      <c r="F969" s="32">
        <f>F970</f>
        <v>0</v>
      </c>
      <c r="G969" s="292">
        <f>G970</f>
        <v>0</v>
      </c>
      <c r="H969" s="292" t="e">
        <f>H970</f>
        <v>#REF!</v>
      </c>
      <c r="I969" s="292" t="e">
        <f>I970</f>
        <v>#REF!</v>
      </c>
      <c r="J969" s="275"/>
    </row>
    <row r="970" spans="1:12" hidden="1" x14ac:dyDescent="0.25">
      <c r="A970" s="452"/>
      <c r="B970" s="452"/>
      <c r="C970" s="452"/>
      <c r="D970" s="666"/>
      <c r="E970" s="40"/>
      <c r="F970" s="160"/>
      <c r="G970" s="375"/>
      <c r="H970" s="278" t="e">
        <f>G970-#REF!</f>
        <v>#REF!</v>
      </c>
      <c r="I970" s="278" t="e">
        <f>F970-#REF!</f>
        <v>#REF!</v>
      </c>
      <c r="J970" s="275"/>
    </row>
    <row r="971" spans="1:12" ht="33.75" hidden="1" customHeight="1" x14ac:dyDescent="0.25">
      <c r="A971" s="414"/>
      <c r="B971" s="415"/>
      <c r="C971" s="415"/>
      <c r="D971" s="651" t="s">
        <v>14</v>
      </c>
      <c r="E971" s="106"/>
      <c r="F971" s="32">
        <f>F972</f>
        <v>0</v>
      </c>
      <c r="G971" s="292">
        <f>G972</f>
        <v>0</v>
      </c>
      <c r="H971" s="292" t="e">
        <f>H972</f>
        <v>#REF!</v>
      </c>
      <c r="I971" s="292" t="e">
        <f>I972</f>
        <v>#REF!</v>
      </c>
      <c r="J971" s="275"/>
    </row>
    <row r="972" spans="1:12" ht="39.75" hidden="1" customHeight="1" x14ac:dyDescent="0.25">
      <c r="A972" s="419"/>
      <c r="B972" s="147"/>
      <c r="C972" s="470"/>
      <c r="D972" s="446" t="s">
        <v>143</v>
      </c>
      <c r="E972" s="146"/>
      <c r="F972" s="39">
        <f>1029264.68-1029264.68</f>
        <v>0</v>
      </c>
      <c r="G972" s="39">
        <f>1029264.68-1029264.68</f>
        <v>0</v>
      </c>
      <c r="H972" s="39" t="e">
        <f>G972-#REF!</f>
        <v>#REF!</v>
      </c>
      <c r="I972" s="39" t="e">
        <f>F972-#REF!</f>
        <v>#REF!</v>
      </c>
      <c r="J972" s="89"/>
    </row>
    <row r="973" spans="1:12" ht="18" hidden="1" customHeight="1" x14ac:dyDescent="0.25">
      <c r="A973" s="419"/>
      <c r="B973" s="147"/>
      <c r="C973" s="470"/>
      <c r="D973" s="446"/>
      <c r="E973" s="146"/>
      <c r="F973" s="147"/>
      <c r="G973" s="54"/>
      <c r="H973" s="39"/>
      <c r="I973" s="39"/>
      <c r="J973" s="89"/>
    </row>
    <row r="974" spans="1:12" ht="26.25" hidden="1" customHeight="1" x14ac:dyDescent="0.25">
      <c r="A974" s="283" t="s">
        <v>126</v>
      </c>
      <c r="B974" s="283"/>
      <c r="C974" s="283"/>
      <c r="D974" s="420" t="s">
        <v>88</v>
      </c>
      <c r="E974" s="20"/>
      <c r="F974" s="273">
        <f t="shared" ref="F974:I975" si="182">F975</f>
        <v>0</v>
      </c>
      <c r="G974" s="407">
        <f t="shared" si="182"/>
        <v>0</v>
      </c>
      <c r="H974" s="407" t="e">
        <f t="shared" si="182"/>
        <v>#REF!</v>
      </c>
      <c r="I974" s="407" t="e">
        <f t="shared" si="182"/>
        <v>#REF!</v>
      </c>
      <c r="J974" s="275"/>
    </row>
    <row r="975" spans="1:12" ht="26.25" hidden="1" customHeight="1" x14ac:dyDescent="0.25">
      <c r="A975" s="421" t="s">
        <v>144</v>
      </c>
      <c r="B975" s="422">
        <v>7363</v>
      </c>
      <c r="C975" s="423"/>
      <c r="D975" s="424"/>
      <c r="E975" s="425"/>
      <c r="F975" s="413">
        <f t="shared" si="182"/>
        <v>0</v>
      </c>
      <c r="G975" s="412">
        <f t="shared" si="182"/>
        <v>0</v>
      </c>
      <c r="H975" s="412" t="e">
        <f t="shared" si="182"/>
        <v>#REF!</v>
      </c>
      <c r="I975" s="412" t="e">
        <f t="shared" si="182"/>
        <v>#REF!</v>
      </c>
      <c r="J975" s="275"/>
    </row>
    <row r="976" spans="1:12" ht="26.25" hidden="1" customHeight="1" x14ac:dyDescent="0.25">
      <c r="A976" s="426"/>
      <c r="B976" s="426"/>
      <c r="C976" s="427"/>
      <c r="D976" s="652" t="s">
        <v>15</v>
      </c>
      <c r="E976" s="308"/>
      <c r="F976" s="308">
        <f>SUM(F977:F979)</f>
        <v>0</v>
      </c>
      <c r="G976" s="294">
        <f>SUM(G977:G979)</f>
        <v>0</v>
      </c>
      <c r="H976" s="294" t="e">
        <f>SUM(H977:H979)</f>
        <v>#REF!</v>
      </c>
      <c r="I976" s="294" t="e">
        <f>SUM(I977:I979)</f>
        <v>#REF!</v>
      </c>
      <c r="J976" s="64"/>
    </row>
    <row r="977" spans="1:16" ht="33.75" hidden="1" customHeight="1" x14ac:dyDescent="0.25">
      <c r="A977" s="426"/>
      <c r="B977" s="426"/>
      <c r="C977" s="427"/>
      <c r="D977" s="550" t="s">
        <v>145</v>
      </c>
      <c r="E977" s="308"/>
      <c r="F977" s="147">
        <f>186562.08-186562.08</f>
        <v>0</v>
      </c>
      <c r="G977" s="147">
        <f>186562.08-186562.08</f>
        <v>0</v>
      </c>
      <c r="H977" s="54" t="e">
        <f>G977-#REF!</f>
        <v>#REF!</v>
      </c>
      <c r="I977" s="296" t="e">
        <f>F977-#REF!</f>
        <v>#REF!</v>
      </c>
      <c r="J977" s="335"/>
    </row>
    <row r="978" spans="1:16" ht="36" hidden="1" customHeight="1" x14ac:dyDescent="0.25">
      <c r="A978" s="416"/>
      <c r="B978" s="417"/>
      <c r="C978" s="471"/>
      <c r="D978" s="550" t="s">
        <v>146</v>
      </c>
      <c r="E978" s="367"/>
      <c r="F978" s="147">
        <f>167.68-167.68</f>
        <v>0</v>
      </c>
      <c r="G978" s="147">
        <f>167.68-167.68</f>
        <v>0</v>
      </c>
      <c r="H978" s="54" t="e">
        <f>G978-#REF!</f>
        <v>#REF!</v>
      </c>
      <c r="I978" s="296" t="e">
        <f>F978-#REF!</f>
        <v>#REF!</v>
      </c>
      <c r="J978" s="335"/>
    </row>
    <row r="979" spans="1:16" ht="31.5" hidden="1" customHeight="1" x14ac:dyDescent="0.25">
      <c r="A979" s="416"/>
      <c r="B979" s="417"/>
      <c r="C979" s="471"/>
      <c r="D979" s="550" t="s">
        <v>147</v>
      </c>
      <c r="E979" s="367"/>
      <c r="F979" s="147">
        <f>18.8-18.8</f>
        <v>0</v>
      </c>
      <c r="G979" s="147">
        <f>18.8-18.8</f>
        <v>0</v>
      </c>
      <c r="H979" s="54" t="e">
        <f>G979-#REF!</f>
        <v>#REF!</v>
      </c>
      <c r="I979" s="296" t="e">
        <f>F979-#REF!</f>
        <v>#REF!</v>
      </c>
      <c r="J979" s="335"/>
    </row>
    <row r="980" spans="1:16" ht="22.5" hidden="1" customHeight="1" x14ac:dyDescent="0.25">
      <c r="A980" s="419"/>
      <c r="B980" s="147"/>
      <c r="C980" s="470"/>
      <c r="D980" s="667"/>
      <c r="E980" s="146"/>
      <c r="F980" s="147"/>
      <c r="G980" s="54"/>
      <c r="H980" s="54" t="e">
        <f>G980-#REF!</f>
        <v>#REF!</v>
      </c>
      <c r="I980" s="296" t="e">
        <f>F980-#REF!</f>
        <v>#REF!</v>
      </c>
      <c r="J980" s="335"/>
    </row>
    <row r="981" spans="1:16" ht="22.5" hidden="1" customHeight="1" x14ac:dyDescent="0.25">
      <c r="A981" s="399"/>
      <c r="B981" s="400"/>
      <c r="C981" s="400"/>
      <c r="D981" s="71" t="s">
        <v>115</v>
      </c>
      <c r="E981" s="401">
        <f>E961</f>
        <v>0</v>
      </c>
      <c r="F981" s="418">
        <f>F961+F967+F974</f>
        <v>0</v>
      </c>
      <c r="G981" s="401">
        <f>G961+G967+G974</f>
        <v>0</v>
      </c>
      <c r="H981" s="401" t="e">
        <f>H961+H967+H974</f>
        <v>#REF!</v>
      </c>
      <c r="I981" s="401" t="e">
        <f>I961+I967+I974</f>
        <v>#REF!</v>
      </c>
      <c r="J981" s="360"/>
    </row>
    <row r="982" spans="1:16" ht="12.75" customHeight="1" x14ac:dyDescent="0.3">
      <c r="A982" s="472"/>
      <c r="B982" s="473"/>
      <c r="C982" s="473"/>
      <c r="D982" s="664"/>
      <c r="E982" s="466"/>
      <c r="F982" s="466"/>
      <c r="G982" s="466"/>
      <c r="H982" s="466"/>
      <c r="I982" s="466"/>
      <c r="J982" s="467"/>
    </row>
    <row r="983" spans="1:16" ht="20.25" customHeight="1" x14ac:dyDescent="0.3">
      <c r="A983" s="362" t="s">
        <v>148</v>
      </c>
      <c r="B983" s="362"/>
      <c r="C983" s="474"/>
      <c r="D983" s="668"/>
      <c r="E983" s="474"/>
      <c r="F983" s="474"/>
      <c r="G983" s="474"/>
      <c r="H983" s="794" t="s">
        <v>149</v>
      </c>
      <c r="I983" s="794"/>
    </row>
    <row r="984" spans="1:16" x14ac:dyDescent="0.3">
      <c r="K984" s="475">
        <f>SUM(K985:K989)</f>
        <v>0</v>
      </c>
      <c r="L984" s="475" t="e">
        <f>SUM(L985:L989)</f>
        <v>#REF!</v>
      </c>
      <c r="M984" s="475" t="e">
        <f>SUM(M985:M989)</f>
        <v>#REF!</v>
      </c>
      <c r="N984" s="475" t="e">
        <f>SUM(N985:N989)</f>
        <v>#REF!</v>
      </c>
    </row>
    <row r="985" spans="1:16" x14ac:dyDescent="0.3">
      <c r="K985" s="476">
        <f>G10</f>
        <v>0</v>
      </c>
      <c r="L985" s="476" t="e">
        <f>#REF!</f>
        <v>#REF!</v>
      </c>
      <c r="M985" s="476" t="e">
        <f>H10</f>
        <v>#REF!</v>
      </c>
      <c r="N985" s="476" t="e">
        <f>I10</f>
        <v>#REF!</v>
      </c>
    </row>
    <row r="986" spans="1:16" x14ac:dyDescent="0.3">
      <c r="K986" s="476">
        <f>G15</f>
        <v>0</v>
      </c>
      <c r="L986" s="476" t="e">
        <f>#REF!</f>
        <v>#REF!</v>
      </c>
      <c r="M986" s="476" t="e">
        <f>H15</f>
        <v>#REF!</v>
      </c>
      <c r="N986" s="476" t="e">
        <f>I15</f>
        <v>#REF!</v>
      </c>
    </row>
    <row r="987" spans="1:16" x14ac:dyDescent="0.3">
      <c r="F987" s="431"/>
      <c r="I987" s="141"/>
      <c r="K987" s="477">
        <f>G18+G860</f>
        <v>0</v>
      </c>
      <c r="L987" s="477" t="e">
        <f>#REF!+#REF!</f>
        <v>#REF!</v>
      </c>
      <c r="M987" s="477" t="e">
        <f>H18+H860</f>
        <v>#REF!</v>
      </c>
      <c r="N987" s="477" t="e">
        <f>I18+I860</f>
        <v>#REF!</v>
      </c>
      <c r="O987" s="140"/>
      <c r="P987" s="140"/>
    </row>
    <row r="988" spans="1:16" s="141" customFormat="1" x14ac:dyDescent="0.3">
      <c r="A988" s="4"/>
      <c r="B988" s="4"/>
      <c r="C988" s="5"/>
      <c r="D988" s="650"/>
      <c r="E988" s="4"/>
      <c r="F988" s="4"/>
      <c r="G988" s="4"/>
      <c r="J988" s="7"/>
      <c r="K988" s="477">
        <f>G29</f>
        <v>0</v>
      </c>
      <c r="L988" s="477" t="e">
        <f>#REF!</f>
        <v>#REF!</v>
      </c>
      <c r="M988" s="477" t="e">
        <f>H29</f>
        <v>#REF!</v>
      </c>
      <c r="N988" s="477" t="e">
        <f>I29</f>
        <v>#REF!</v>
      </c>
      <c r="O988" s="140"/>
      <c r="P988" s="140"/>
    </row>
    <row r="989" spans="1:16" s="141" customFormat="1" x14ac:dyDescent="0.3">
      <c r="A989" s="4"/>
      <c r="B989" s="4"/>
      <c r="C989" s="5"/>
      <c r="D989" s="650"/>
      <c r="E989" s="4"/>
      <c r="F989" s="431"/>
      <c r="G989" s="4"/>
      <c r="J989" s="7"/>
      <c r="K989" s="477"/>
      <c r="L989" s="477"/>
      <c r="M989" s="477"/>
      <c r="N989" s="477"/>
      <c r="O989" s="9"/>
      <c r="P989" s="9"/>
    </row>
    <row r="990" spans="1:16" x14ac:dyDescent="0.3">
      <c r="K990" s="477"/>
      <c r="L990" s="477"/>
      <c r="M990" s="477"/>
      <c r="N990" s="477"/>
    </row>
    <row r="991" spans="1:16" x14ac:dyDescent="0.3">
      <c r="K991" s="477"/>
      <c r="L991" s="477"/>
      <c r="M991" s="477"/>
      <c r="N991" s="477"/>
    </row>
    <row r="992" spans="1:16" x14ac:dyDescent="0.3">
      <c r="K992" s="475">
        <f>SUM(K993:K994)</f>
        <v>0</v>
      </c>
      <c r="L992" s="475" t="e">
        <f>SUM(L993:L994)</f>
        <v>#REF!</v>
      </c>
      <c r="M992" s="475" t="e">
        <f>SUM(M993:M994)</f>
        <v>#REF!</v>
      </c>
      <c r="N992" s="475" t="e">
        <f>SUM(N993:N994)</f>
        <v>#REF!</v>
      </c>
    </row>
    <row r="993" spans="9:14" x14ac:dyDescent="0.3">
      <c r="K993" s="477">
        <f>G38</f>
        <v>0</v>
      </c>
      <c r="L993" s="477" t="e">
        <f>#REF!</f>
        <v>#REF!</v>
      </c>
      <c r="M993" s="477" t="e">
        <f>H38</f>
        <v>#REF!</v>
      </c>
      <c r="N993" s="477" t="e">
        <f>I38</f>
        <v>#REF!</v>
      </c>
    </row>
    <row r="994" spans="9:14" x14ac:dyDescent="0.3">
      <c r="K994" s="477">
        <f>G43</f>
        <v>0</v>
      </c>
      <c r="L994" s="477" t="e">
        <f>#REF!</f>
        <v>#REF!</v>
      </c>
      <c r="M994" s="477" t="e">
        <f>H43</f>
        <v>#REF!</v>
      </c>
      <c r="N994" s="477" t="e">
        <f>I43</f>
        <v>#REF!</v>
      </c>
    </row>
    <row r="995" spans="9:14" x14ac:dyDescent="0.3">
      <c r="K995" s="477"/>
      <c r="L995" s="477"/>
      <c r="M995" s="477"/>
      <c r="N995" s="477"/>
    </row>
    <row r="996" spans="9:14" x14ac:dyDescent="0.3">
      <c r="K996" s="475">
        <f>SUM(K997:K998)</f>
        <v>0</v>
      </c>
      <c r="L996" s="475" t="e">
        <f>SUM(L997:L998)</f>
        <v>#REF!</v>
      </c>
      <c r="M996" s="475" t="e">
        <f>SUM(M997:M998)</f>
        <v>#REF!</v>
      </c>
      <c r="N996" s="475" t="e">
        <f>SUM(N997:N998)</f>
        <v>#REF!</v>
      </c>
    </row>
    <row r="997" spans="9:14" x14ac:dyDescent="0.3">
      <c r="K997" s="477"/>
      <c r="L997" s="477"/>
      <c r="M997" s="477"/>
      <c r="N997" s="477"/>
    </row>
    <row r="998" spans="9:14" x14ac:dyDescent="0.3">
      <c r="I998">
        <f>4300000+3155800</f>
        <v>7455800</v>
      </c>
      <c r="K998" s="477">
        <f>G731+G51</f>
        <v>0</v>
      </c>
      <c r="L998" s="477" t="e">
        <f>#REF!+#REF!</f>
        <v>#REF!</v>
      </c>
      <c r="M998" s="477" t="e">
        <f>H731+H51</f>
        <v>#REF!</v>
      </c>
      <c r="N998" s="477" t="e">
        <f>I731+I51</f>
        <v>#REF!</v>
      </c>
    </row>
    <row r="999" spans="9:14" x14ac:dyDescent="0.3">
      <c r="K999" s="477"/>
      <c r="L999" s="477"/>
      <c r="M999" s="477"/>
      <c r="N999" s="477"/>
    </row>
    <row r="1000" spans="9:14" x14ac:dyDescent="0.3">
      <c r="K1000" s="475">
        <f>SUM(K1001)</f>
        <v>0</v>
      </c>
      <c r="L1000" s="475" t="e">
        <f>SUM(L1001)</f>
        <v>#REF!</v>
      </c>
      <c r="M1000" s="475" t="e">
        <f>SUM(M1001)</f>
        <v>#REF!</v>
      </c>
      <c r="N1000" s="475" t="e">
        <f>SUM(N1001)</f>
        <v>#REF!</v>
      </c>
    </row>
    <row r="1001" spans="9:14" x14ac:dyDescent="0.3">
      <c r="K1001" s="477">
        <f>G54</f>
        <v>0</v>
      </c>
      <c r="L1001" s="477" t="e">
        <f>#REF!</f>
        <v>#REF!</v>
      </c>
      <c r="M1001" s="477" t="e">
        <f>H54</f>
        <v>#REF!</v>
      </c>
      <c r="N1001" s="477" t="e">
        <f>I54</f>
        <v>#REF!</v>
      </c>
    </row>
    <row r="1002" spans="9:14" x14ac:dyDescent="0.3">
      <c r="K1002" s="477"/>
      <c r="L1002" s="477"/>
      <c r="M1002" s="477"/>
      <c r="N1002" s="477"/>
    </row>
    <row r="1003" spans="9:14" x14ac:dyDescent="0.3">
      <c r="K1003" s="477">
        <f>SUM(K1004)</f>
        <v>0</v>
      </c>
      <c r="L1003" s="477" t="e">
        <f>SUM(L1004)</f>
        <v>#REF!</v>
      </c>
      <c r="M1003" s="477" t="e">
        <f>SUM(M1004)</f>
        <v>#REF!</v>
      </c>
      <c r="N1003" s="477" t="e">
        <f>SUM(N1004)</f>
        <v>#REF!</v>
      </c>
    </row>
    <row r="1004" spans="9:14" x14ac:dyDescent="0.3">
      <c r="K1004" s="477">
        <f>G60</f>
        <v>0</v>
      </c>
      <c r="L1004" s="477" t="e">
        <f>#REF!</f>
        <v>#REF!</v>
      </c>
      <c r="M1004" s="477" t="e">
        <f>H60</f>
        <v>#REF!</v>
      </c>
      <c r="N1004" s="477" t="e">
        <f>I60</f>
        <v>#REF!</v>
      </c>
    </row>
    <row r="1005" spans="9:14" x14ac:dyDescent="0.3">
      <c r="K1005" s="477"/>
      <c r="L1005" s="477"/>
      <c r="M1005" s="477"/>
      <c r="N1005" s="477"/>
    </row>
    <row r="1006" spans="9:14" x14ac:dyDescent="0.3">
      <c r="K1006" s="475">
        <f>SUM(K1007)</f>
        <v>0</v>
      </c>
      <c r="L1006" s="475" t="e">
        <f>SUM(L1007)</f>
        <v>#REF!</v>
      </c>
      <c r="M1006" s="475" t="e">
        <f>SUM(M1007)</f>
        <v>#REF!</v>
      </c>
      <c r="N1006" s="475" t="e">
        <f>SUM(N1007)</f>
        <v>#REF!</v>
      </c>
    </row>
    <row r="1007" spans="9:14" x14ac:dyDescent="0.3">
      <c r="K1007" s="477">
        <f>G63+G874</f>
        <v>0</v>
      </c>
      <c r="L1007" s="477" t="e">
        <f>#REF!+#REF!</f>
        <v>#REF!</v>
      </c>
      <c r="M1007" s="477" t="e">
        <f>H63+H874</f>
        <v>#REF!</v>
      </c>
      <c r="N1007" s="477" t="e">
        <f>I63+I874</f>
        <v>#REF!</v>
      </c>
    </row>
    <row r="1008" spans="9:14" x14ac:dyDescent="0.3">
      <c r="K1008" s="477"/>
      <c r="L1008" s="477"/>
      <c r="M1008" s="477"/>
      <c r="N1008" s="477"/>
    </row>
    <row r="1009" spans="11:15" x14ac:dyDescent="0.3">
      <c r="K1009" s="475">
        <f>SUM(K1010)</f>
        <v>0</v>
      </c>
      <c r="L1009" s="475" t="e">
        <f>SUM(L1010)</f>
        <v>#REF!</v>
      </c>
      <c r="M1009" s="475" t="e">
        <f>SUM(M1010)</f>
        <v>#REF!</v>
      </c>
      <c r="N1009" s="475" t="e">
        <f>SUM(N1010)</f>
        <v>#REF!</v>
      </c>
    </row>
    <row r="1010" spans="11:15" x14ac:dyDescent="0.3">
      <c r="K1010" s="477">
        <f>G72</f>
        <v>0</v>
      </c>
      <c r="L1010" s="477" t="e">
        <f>#REF!</f>
        <v>#REF!</v>
      </c>
      <c r="M1010" s="477" t="e">
        <f>H72</f>
        <v>#REF!</v>
      </c>
      <c r="N1010" s="477" t="e">
        <f>I72</f>
        <v>#REF!</v>
      </c>
    </row>
    <row r="1011" spans="11:15" x14ac:dyDescent="0.3">
      <c r="K1011" s="477"/>
      <c r="L1011" s="477"/>
      <c r="M1011" s="477"/>
      <c r="N1011" s="477"/>
    </row>
    <row r="1012" spans="11:15" x14ac:dyDescent="0.3">
      <c r="K1012" s="475">
        <f>SUM(K1013)</f>
        <v>0</v>
      </c>
      <c r="L1012" s="475" t="e">
        <f>SUM(L1013)</f>
        <v>#REF!</v>
      </c>
      <c r="M1012" s="475" t="e">
        <f>SUM(M1013)</f>
        <v>#REF!</v>
      </c>
      <c r="N1012" s="475" t="e">
        <f>SUM(N1013)</f>
        <v>#REF!</v>
      </c>
    </row>
    <row r="1013" spans="11:15" x14ac:dyDescent="0.3">
      <c r="K1013" s="477">
        <f>G78</f>
        <v>0</v>
      </c>
      <c r="L1013" s="477" t="e">
        <f>#REF!</f>
        <v>#REF!</v>
      </c>
      <c r="M1013" s="477" t="e">
        <f>H78</f>
        <v>#REF!</v>
      </c>
      <c r="N1013" s="477" t="e">
        <f>I78</f>
        <v>#REF!</v>
      </c>
    </row>
    <row r="1014" spans="11:15" x14ac:dyDescent="0.3">
      <c r="K1014" s="477"/>
      <c r="L1014" s="477"/>
      <c r="M1014" s="477"/>
      <c r="N1014" s="477"/>
    </row>
    <row r="1015" spans="11:15" x14ac:dyDescent="0.3">
      <c r="K1015" s="475">
        <f>SUM(K1016:K1017)</f>
        <v>1000000</v>
      </c>
      <c r="L1015" s="475" t="e">
        <f>SUM(L1016:L1017)</f>
        <v>#REF!</v>
      </c>
      <c r="M1015" s="721">
        <f>SUM(M1016:M1017)</f>
        <v>0</v>
      </c>
      <c r="N1015" s="475">
        <f>SUM(N1016:N1017)</f>
        <v>0</v>
      </c>
    </row>
    <row r="1016" spans="11:15" x14ac:dyDescent="0.3">
      <c r="K1016" s="477"/>
      <c r="L1016" s="477"/>
      <c r="M1016" s="722"/>
      <c r="N1016" s="477"/>
    </row>
    <row r="1017" spans="11:15" x14ac:dyDescent="0.3">
      <c r="K1017" s="477">
        <f>G83</f>
        <v>1000000</v>
      </c>
      <c r="L1017" s="477" t="e">
        <f>#REF!</f>
        <v>#REF!</v>
      </c>
      <c r="M1017" s="722">
        <f>H83</f>
        <v>0</v>
      </c>
      <c r="N1017" s="477">
        <f>I83</f>
        <v>0</v>
      </c>
    </row>
    <row r="1018" spans="11:15" x14ac:dyDescent="0.3">
      <c r="K1018" s="477"/>
      <c r="L1018" s="477"/>
      <c r="M1018" s="477"/>
      <c r="N1018" s="477"/>
    </row>
    <row r="1019" spans="11:15" x14ac:dyDescent="0.3">
      <c r="K1019" s="475">
        <f>SUM(K1020:K1021)</f>
        <v>30000</v>
      </c>
      <c r="L1019" s="475" t="e">
        <f>SUM(L1020:L1021)</f>
        <v>#REF!</v>
      </c>
      <c r="M1019" s="721" t="e">
        <f>SUM(M1020:M1021)</f>
        <v>#REF!</v>
      </c>
      <c r="N1019" s="475" t="e">
        <f>SUM(N1020:N1021)</f>
        <v>#REF!</v>
      </c>
      <c r="O1019" s="475"/>
    </row>
    <row r="1020" spans="11:15" x14ac:dyDescent="0.3">
      <c r="K1020" s="477">
        <f>G88+G878</f>
        <v>30000</v>
      </c>
      <c r="L1020" s="477" t="e">
        <f>#REF!+#REF!</f>
        <v>#REF!</v>
      </c>
      <c r="M1020" s="722" t="e">
        <f>H88+H878</f>
        <v>#REF!</v>
      </c>
      <c r="N1020" s="477" t="e">
        <f>I88+I878</f>
        <v>#REF!</v>
      </c>
    </row>
    <row r="1021" spans="11:15" x14ac:dyDescent="0.3">
      <c r="K1021" s="477">
        <f>G95</f>
        <v>0</v>
      </c>
      <c r="L1021" s="477" t="e">
        <f>#REF!</f>
        <v>#REF!</v>
      </c>
      <c r="M1021" s="722" t="e">
        <f>H95</f>
        <v>#REF!</v>
      </c>
      <c r="N1021" s="477" t="e">
        <f>I95</f>
        <v>#REF!</v>
      </c>
    </row>
    <row r="1022" spans="11:15" x14ac:dyDescent="0.3">
      <c r="K1022" s="477"/>
      <c r="L1022" s="477"/>
      <c r="M1022" s="477"/>
      <c r="N1022" s="477"/>
    </row>
    <row r="1023" spans="11:15" x14ac:dyDescent="0.3">
      <c r="K1023" s="477"/>
      <c r="L1023" s="477"/>
      <c r="M1023" s="477"/>
      <c r="N1023" s="477"/>
    </row>
    <row r="1024" spans="11:15" x14ac:dyDescent="0.3">
      <c r="K1024" s="475">
        <f>K1025</f>
        <v>0</v>
      </c>
      <c r="L1024" s="475">
        <f>L1025</f>
        <v>0</v>
      </c>
      <c r="M1024" s="475">
        <f>M1025</f>
        <v>0</v>
      </c>
      <c r="N1024" s="475">
        <f>N1025</f>
        <v>0</v>
      </c>
    </row>
    <row r="1025" spans="9:14" x14ac:dyDescent="0.3">
      <c r="K1025" s="477"/>
      <c r="L1025" s="477"/>
      <c r="M1025" s="477"/>
      <c r="N1025" s="477"/>
    </row>
    <row r="1026" spans="9:14" x14ac:dyDescent="0.3">
      <c r="K1026" s="477"/>
      <c r="L1026" s="477"/>
      <c r="M1026" s="477"/>
      <c r="N1026" s="477"/>
    </row>
    <row r="1027" spans="9:14" x14ac:dyDescent="0.3">
      <c r="K1027" s="475">
        <f>SUM(K1028:K1029)</f>
        <v>0</v>
      </c>
      <c r="L1027" s="475" t="e">
        <f>SUM(L1028:L1029)</f>
        <v>#REF!</v>
      </c>
      <c r="M1027" s="475" t="e">
        <f>SUM(M1028:M1029)</f>
        <v>#REF!</v>
      </c>
      <c r="N1027" s="475" t="e">
        <f>SUM(N1028:N1029)</f>
        <v>#REF!</v>
      </c>
    </row>
    <row r="1028" spans="9:14" x14ac:dyDescent="0.3">
      <c r="K1028" s="477">
        <f>G108</f>
        <v>0</v>
      </c>
      <c r="L1028" s="477" t="e">
        <f>#REF!</f>
        <v>#REF!</v>
      </c>
      <c r="M1028" s="477" t="e">
        <f>H108</f>
        <v>#REF!</v>
      </c>
      <c r="N1028" s="477" t="e">
        <f>I108</f>
        <v>#REF!</v>
      </c>
    </row>
    <row r="1029" spans="9:14" x14ac:dyDescent="0.3">
      <c r="K1029" s="477">
        <f>G112</f>
        <v>0</v>
      </c>
      <c r="L1029" s="477" t="e">
        <f>#REF!</f>
        <v>#REF!</v>
      </c>
      <c r="M1029" s="477" t="e">
        <f>H112</f>
        <v>#REF!</v>
      </c>
      <c r="N1029" s="477" t="e">
        <f>I112</f>
        <v>#REF!</v>
      </c>
    </row>
    <row r="1030" spans="9:14" x14ac:dyDescent="0.3">
      <c r="K1030" s="477"/>
      <c r="L1030" s="477"/>
      <c r="M1030" s="477"/>
      <c r="N1030" s="477"/>
    </row>
    <row r="1031" spans="9:14" x14ac:dyDescent="0.3">
      <c r="I1031">
        <f>1500000+40000000</f>
        <v>41500000</v>
      </c>
      <c r="K1031" s="475">
        <f>SUM(K1032:K1033)</f>
        <v>400000</v>
      </c>
      <c r="L1031" s="475" t="e">
        <f>SUM(L1032:L1033)</f>
        <v>#REF!</v>
      </c>
      <c r="M1031" s="721" t="e">
        <f>SUM(M1032:M1033)</f>
        <v>#REF!</v>
      </c>
      <c r="N1031" s="475" t="e">
        <f>SUM(N1032:N1033)</f>
        <v>#REF!</v>
      </c>
    </row>
    <row r="1032" spans="9:14" x14ac:dyDescent="0.3">
      <c r="K1032" s="477">
        <f>G118+G735</f>
        <v>400000</v>
      </c>
      <c r="L1032" s="477" t="e">
        <f>#REF!+#REF!</f>
        <v>#REF!</v>
      </c>
      <c r="M1032" s="722" t="e">
        <f>H118+H735</f>
        <v>#REF!</v>
      </c>
      <c r="N1032" s="477" t="e">
        <f>I118+I735</f>
        <v>#REF!</v>
      </c>
    </row>
    <row r="1033" spans="9:14" x14ac:dyDescent="0.3">
      <c r="K1033" s="477">
        <f>G126+G883</f>
        <v>0</v>
      </c>
      <c r="L1033" s="477" t="e">
        <f>#REF!+#REF!</f>
        <v>#REF!</v>
      </c>
      <c r="M1033" s="722" t="e">
        <f>H126+H883</f>
        <v>#REF!</v>
      </c>
      <c r="N1033" s="477" t="e">
        <f>I126+I883</f>
        <v>#REF!</v>
      </c>
    </row>
    <row r="1034" spans="9:14" x14ac:dyDescent="0.3">
      <c r="K1034" s="477"/>
      <c r="L1034" s="477"/>
      <c r="M1034" s="477"/>
      <c r="N1034" s="477"/>
    </row>
    <row r="1035" spans="9:14" x14ac:dyDescent="0.3">
      <c r="K1035" s="478">
        <f>SUM(K1036:K1037)</f>
        <v>0</v>
      </c>
      <c r="L1035" s="478" t="e">
        <f>SUM(L1036:L1037)</f>
        <v>#REF!</v>
      </c>
      <c r="M1035" s="478" t="e">
        <f>SUM(M1036:M1037)</f>
        <v>#REF!</v>
      </c>
      <c r="N1035" s="478" t="e">
        <f>SUM(N1036:N1037)</f>
        <v>#REF!</v>
      </c>
    </row>
    <row r="1036" spans="9:14" x14ac:dyDescent="0.3">
      <c r="K1036" s="479"/>
      <c r="L1036" s="479"/>
      <c r="M1036" s="479"/>
      <c r="N1036" s="479"/>
    </row>
    <row r="1037" spans="9:14" x14ac:dyDescent="0.3">
      <c r="K1037" s="477">
        <f>G142</f>
        <v>0</v>
      </c>
      <c r="L1037" s="477" t="e">
        <f>#REF!</f>
        <v>#REF!</v>
      </c>
      <c r="M1037" s="477" t="e">
        <f>H142</f>
        <v>#REF!</v>
      </c>
      <c r="N1037" s="477" t="e">
        <f>I142</f>
        <v>#REF!</v>
      </c>
    </row>
    <row r="1038" spans="9:14" x14ac:dyDescent="0.3">
      <c r="K1038" s="477"/>
      <c r="L1038" s="477"/>
      <c r="M1038" s="477"/>
      <c r="N1038" s="477"/>
    </row>
    <row r="1039" spans="9:14" x14ac:dyDescent="0.3">
      <c r="K1039" s="480">
        <f>SUM(K1040)</f>
        <v>2400000</v>
      </c>
      <c r="L1039" s="480" t="e">
        <f>SUM(L1040)</f>
        <v>#REF!</v>
      </c>
      <c r="M1039" s="724">
        <f>SUM(M1040)</f>
        <v>0</v>
      </c>
      <c r="N1039" s="480">
        <f>SUM(N1040)</f>
        <v>0</v>
      </c>
    </row>
    <row r="1040" spans="9:14" x14ac:dyDescent="0.3">
      <c r="K1040" s="477">
        <f>G152</f>
        <v>2400000</v>
      </c>
      <c r="L1040" s="477" t="e">
        <f>#REF!</f>
        <v>#REF!</v>
      </c>
      <c r="M1040" s="722">
        <f>H152</f>
        <v>0</v>
      </c>
      <c r="N1040" s="477">
        <f>I152</f>
        <v>0</v>
      </c>
    </row>
    <row r="1041" spans="9:14" x14ac:dyDescent="0.3">
      <c r="K1041" s="477"/>
      <c r="L1041" s="477"/>
      <c r="M1041" s="477"/>
      <c r="N1041" s="477"/>
    </row>
    <row r="1042" spans="9:14" x14ac:dyDescent="0.3">
      <c r="K1042" s="475">
        <f>SUM(K1043)</f>
        <v>0</v>
      </c>
      <c r="L1042" s="475" t="e">
        <f>SUM(L1043)</f>
        <v>#REF!</v>
      </c>
      <c r="M1042" s="475" t="e">
        <f>SUM(M1043)</f>
        <v>#REF!</v>
      </c>
      <c r="N1042" s="475" t="e">
        <f>SUM(N1043)</f>
        <v>#REF!</v>
      </c>
    </row>
    <row r="1043" spans="9:14" x14ac:dyDescent="0.3">
      <c r="K1043" s="477">
        <f>G971</f>
        <v>0</v>
      </c>
      <c r="L1043" s="477" t="e">
        <f>#REF!</f>
        <v>#REF!</v>
      </c>
      <c r="M1043" s="477" t="e">
        <f>H971</f>
        <v>#REF!</v>
      </c>
      <c r="N1043" s="477" t="e">
        <f>I971</f>
        <v>#REF!</v>
      </c>
    </row>
    <row r="1044" spans="9:14" x14ac:dyDescent="0.3">
      <c r="K1044" s="477"/>
      <c r="L1044" s="477"/>
      <c r="M1044" s="477"/>
      <c r="N1044" s="477"/>
    </row>
    <row r="1045" spans="9:14" x14ac:dyDescent="0.3">
      <c r="K1045" s="475">
        <f>SUM(K1046:K1047)</f>
        <v>0</v>
      </c>
      <c r="L1045" s="475" t="e">
        <f>SUM(L1046:L1047)</f>
        <v>#REF!</v>
      </c>
      <c r="M1045" s="475" t="e">
        <f>SUM(M1046:M1047)</f>
        <v>#REF!</v>
      </c>
      <c r="N1045" s="475" t="e">
        <f>SUM(N1046:N1047)</f>
        <v>#REF!</v>
      </c>
    </row>
    <row r="1046" spans="9:14" x14ac:dyDescent="0.3">
      <c r="K1046" s="477">
        <f>G158</f>
        <v>0</v>
      </c>
      <c r="L1046" s="477" t="e">
        <f>#REF!</f>
        <v>#REF!</v>
      </c>
      <c r="M1046" s="477" t="e">
        <f>H158</f>
        <v>#REF!</v>
      </c>
      <c r="N1046" s="477" t="e">
        <f>I158</f>
        <v>#REF!</v>
      </c>
    </row>
    <row r="1047" spans="9:14" x14ac:dyDescent="0.3">
      <c r="K1047" s="477">
        <f>G162</f>
        <v>0</v>
      </c>
      <c r="L1047" s="477" t="e">
        <f>#REF!</f>
        <v>#REF!</v>
      </c>
      <c r="M1047" s="477" t="e">
        <f>H162</f>
        <v>#REF!</v>
      </c>
      <c r="N1047" s="477" t="e">
        <f>I162</f>
        <v>#REF!</v>
      </c>
    </row>
    <row r="1048" spans="9:14" x14ac:dyDescent="0.3">
      <c r="K1048" s="477"/>
      <c r="L1048" s="477"/>
      <c r="M1048" s="477"/>
      <c r="N1048" s="477"/>
    </row>
    <row r="1049" spans="9:14" x14ac:dyDescent="0.3">
      <c r="K1049" s="475">
        <f>K1050</f>
        <v>94542</v>
      </c>
      <c r="L1049" s="475" t="e">
        <f>L1050</f>
        <v>#REF!</v>
      </c>
      <c r="M1049" s="721">
        <f>M1050</f>
        <v>94542</v>
      </c>
      <c r="N1049" s="475">
        <f>N1050</f>
        <v>100</v>
      </c>
    </row>
    <row r="1050" spans="9:14" x14ac:dyDescent="0.3">
      <c r="K1050" s="477">
        <f>G172</f>
        <v>94542</v>
      </c>
      <c r="L1050" s="477" t="e">
        <f>#REF!</f>
        <v>#REF!</v>
      </c>
      <c r="M1050" s="722">
        <f>H172</f>
        <v>94542</v>
      </c>
      <c r="N1050" s="477">
        <f>I172</f>
        <v>100</v>
      </c>
    </row>
    <row r="1051" spans="9:14" x14ac:dyDescent="0.3">
      <c r="K1051" s="477"/>
      <c r="L1051" s="477"/>
      <c r="M1051" s="477"/>
      <c r="N1051" s="477"/>
    </row>
    <row r="1052" spans="9:14" x14ac:dyDescent="0.3">
      <c r="K1052" s="475">
        <f>K1053</f>
        <v>19908991.960000001</v>
      </c>
      <c r="L1052" s="475" t="e">
        <f>L1053</f>
        <v>#REF!</v>
      </c>
      <c r="M1052" s="721">
        <f>M1053</f>
        <v>13641034.090000002</v>
      </c>
      <c r="N1052" s="475">
        <f>N1053</f>
        <v>68.511360703180003</v>
      </c>
    </row>
    <row r="1053" spans="9:14" x14ac:dyDescent="0.3">
      <c r="K1053" s="477">
        <f>G176+3533.96</f>
        <v>19908991.960000001</v>
      </c>
      <c r="L1053" s="477" t="e">
        <f>#REF!+3533.96</f>
        <v>#REF!</v>
      </c>
      <c r="M1053" s="722">
        <f>H176+3533.96</f>
        <v>13641034.090000002</v>
      </c>
      <c r="N1053" s="477">
        <f>I176</f>
        <v>68.511360703180003</v>
      </c>
    </row>
    <row r="1054" spans="9:14" x14ac:dyDescent="0.3">
      <c r="K1054" s="477"/>
      <c r="L1054" s="477"/>
      <c r="M1054" s="477"/>
      <c r="N1054" s="477"/>
    </row>
    <row r="1055" spans="9:14" x14ac:dyDescent="0.3">
      <c r="I1055">
        <f>425000+1000000+650000</f>
        <v>2075000</v>
      </c>
      <c r="K1055" s="475">
        <f>K1056</f>
        <v>5000000</v>
      </c>
      <c r="L1055" s="475" t="e">
        <f>L1056</f>
        <v>#REF!</v>
      </c>
      <c r="M1055" s="721" t="e">
        <f>M1056</f>
        <v>#REF!</v>
      </c>
      <c r="N1055" s="475" t="e">
        <f>N1056</f>
        <v>#REF!</v>
      </c>
    </row>
    <row r="1056" spans="9:14" x14ac:dyDescent="0.3">
      <c r="K1056" s="477">
        <f>G180+G739</f>
        <v>5000000</v>
      </c>
      <c r="L1056" s="477" t="e">
        <f>#REF!+#REF!</f>
        <v>#REF!</v>
      </c>
      <c r="M1056" s="722" t="e">
        <f>H180+H739</f>
        <v>#REF!</v>
      </c>
      <c r="N1056" s="477" t="e">
        <f>I180+I739</f>
        <v>#REF!</v>
      </c>
    </row>
    <row r="1057" spans="9:14" x14ac:dyDescent="0.3">
      <c r="K1057" s="477"/>
      <c r="L1057" s="477"/>
      <c r="M1057" s="477"/>
      <c r="N1057" s="477"/>
    </row>
    <row r="1058" spans="9:14" x14ac:dyDescent="0.3">
      <c r="K1058" s="475">
        <f>SUM(K1059:K1065)</f>
        <v>0</v>
      </c>
      <c r="L1058" s="475" t="e">
        <f>SUM(L1059:L1065)</f>
        <v>#REF!</v>
      </c>
      <c r="M1058" s="475" t="e">
        <f>SUM(M1059:M1065)</f>
        <v>#REF!</v>
      </c>
      <c r="N1058" s="475" t="e">
        <f>SUM(N1059:N1065)</f>
        <v>#REF!</v>
      </c>
    </row>
    <row r="1059" spans="9:14" x14ac:dyDescent="0.3">
      <c r="K1059" s="477">
        <f>G213</f>
        <v>0</v>
      </c>
      <c r="L1059" s="477" t="e">
        <f>#REF!</f>
        <v>#REF!</v>
      </c>
      <c r="M1059" s="477" t="e">
        <f>H213</f>
        <v>#REF!</v>
      </c>
      <c r="N1059" s="477" t="e">
        <f>I213</f>
        <v>#REF!</v>
      </c>
    </row>
    <row r="1060" spans="9:14" x14ac:dyDescent="0.3">
      <c r="K1060" s="477">
        <f>G291</f>
        <v>0</v>
      </c>
      <c r="L1060" s="477" t="e">
        <f>#REF!</f>
        <v>#REF!</v>
      </c>
      <c r="M1060" s="477" t="e">
        <f>H291</f>
        <v>#REF!</v>
      </c>
      <c r="N1060" s="477" t="e">
        <f>I291</f>
        <v>#REF!</v>
      </c>
    </row>
    <row r="1061" spans="9:14" x14ac:dyDescent="0.3">
      <c r="K1061" s="477">
        <f>G318</f>
        <v>0</v>
      </c>
      <c r="L1061" s="477" t="e">
        <f>#REF!</f>
        <v>#REF!</v>
      </c>
      <c r="M1061" s="477" t="e">
        <f>H318</f>
        <v>#REF!</v>
      </c>
      <c r="N1061" s="477" t="e">
        <f>I318</f>
        <v>#REF!</v>
      </c>
    </row>
    <row r="1062" spans="9:14" x14ac:dyDescent="0.3">
      <c r="K1062" s="477"/>
      <c r="L1062" s="477"/>
      <c r="M1062" s="477"/>
      <c r="N1062" s="477"/>
    </row>
    <row r="1063" spans="9:14" x14ac:dyDescent="0.3">
      <c r="K1063" s="477">
        <f>G390</f>
        <v>0</v>
      </c>
      <c r="L1063" s="477" t="e">
        <f>#REF!</f>
        <v>#REF!</v>
      </c>
      <c r="M1063" s="477" t="e">
        <f>H390</f>
        <v>#REF!</v>
      </c>
      <c r="N1063" s="477" t="e">
        <f>I390</f>
        <v>#REF!</v>
      </c>
    </row>
    <row r="1064" spans="9:14" x14ac:dyDescent="0.3">
      <c r="K1064" s="477">
        <f>G625</f>
        <v>0</v>
      </c>
      <c r="L1064" s="477" t="e">
        <f>#REF!</f>
        <v>#REF!</v>
      </c>
      <c r="M1064" s="477" t="e">
        <f>H625</f>
        <v>#REF!</v>
      </c>
      <c r="N1064" s="477">
        <f>I625</f>
        <v>0</v>
      </c>
    </row>
    <row r="1065" spans="9:14" x14ac:dyDescent="0.3">
      <c r="K1065" s="477">
        <f>G618</f>
        <v>0</v>
      </c>
      <c r="L1065" s="477" t="e">
        <f>#REF!</f>
        <v>#REF!</v>
      </c>
      <c r="M1065" s="477" t="e">
        <f>H618</f>
        <v>#REF!</v>
      </c>
      <c r="N1065" s="477" t="e">
        <f>I618</f>
        <v>#REF!</v>
      </c>
    </row>
    <row r="1066" spans="9:14" x14ac:dyDescent="0.3">
      <c r="K1066" s="477"/>
      <c r="L1066" s="477"/>
      <c r="M1066" s="477"/>
      <c r="N1066" s="477"/>
    </row>
    <row r="1067" spans="9:14" x14ac:dyDescent="0.3">
      <c r="I1067">
        <f>413346+243555</f>
        <v>656901</v>
      </c>
      <c r="K1067" s="475">
        <f>SUM(K1068:K1069)</f>
        <v>0</v>
      </c>
      <c r="L1067" s="475" t="e">
        <f>SUM(L1068:L1069)</f>
        <v>#REF!</v>
      </c>
      <c r="M1067" s="475" t="e">
        <f>SUM(M1068:M1069)</f>
        <v>#REF!</v>
      </c>
      <c r="N1067" s="475" t="e">
        <f>SUM(N1068:N1069)</f>
        <v>#REF!</v>
      </c>
    </row>
    <row r="1068" spans="9:14" x14ac:dyDescent="0.3">
      <c r="K1068" s="477">
        <f>G220+G897</f>
        <v>0</v>
      </c>
      <c r="L1068" s="477" t="e">
        <f>#REF!+#REF!</f>
        <v>#REF!</v>
      </c>
      <c r="M1068" s="477" t="e">
        <f>H220+H897</f>
        <v>#REF!</v>
      </c>
      <c r="N1068" s="477" t="e">
        <f>I220+I897</f>
        <v>#REF!</v>
      </c>
    </row>
    <row r="1069" spans="9:14" x14ac:dyDescent="0.3">
      <c r="K1069" s="477">
        <f>G223</f>
        <v>0</v>
      </c>
      <c r="L1069" s="477" t="e">
        <f>#REF!</f>
        <v>#REF!</v>
      </c>
      <c r="M1069" s="477" t="e">
        <f>H223</f>
        <v>#REF!</v>
      </c>
      <c r="N1069" s="477" t="e">
        <f>I223</f>
        <v>#REF!</v>
      </c>
    </row>
    <row r="1070" spans="9:14" x14ac:dyDescent="0.3">
      <c r="K1070" s="477"/>
      <c r="L1070" s="477"/>
      <c r="M1070" s="477"/>
      <c r="N1070" s="477"/>
    </row>
    <row r="1071" spans="9:14" x14ac:dyDescent="0.3">
      <c r="I1071">
        <f>11264520+680000</f>
        <v>11944520</v>
      </c>
      <c r="K1071" s="475">
        <f>SUM(K1072:K1073)</f>
        <v>4958153</v>
      </c>
      <c r="L1071" s="475" t="e">
        <f>SUM(L1072:L1073)</f>
        <v>#REF!</v>
      </c>
      <c r="M1071" s="721" t="e">
        <f>SUM(M1072:M1073)</f>
        <v>#REF!</v>
      </c>
      <c r="N1071" s="475" t="e">
        <f>SUM(N1072:N1073)</f>
        <v>#REF!</v>
      </c>
    </row>
    <row r="1072" spans="9:14" x14ac:dyDescent="0.3">
      <c r="I1072">
        <f>9763196+680000</f>
        <v>10443196</v>
      </c>
      <c r="K1072" s="477">
        <f>G254+G746+G902</f>
        <v>0</v>
      </c>
      <c r="L1072" s="477" t="e">
        <f>#REF!+#REF!+#REF!</f>
        <v>#REF!</v>
      </c>
      <c r="M1072" s="722" t="e">
        <f>H254+H746+H902</f>
        <v>#REF!</v>
      </c>
      <c r="N1072" s="477" t="e">
        <f>I254+I746+I902</f>
        <v>#REF!</v>
      </c>
    </row>
    <row r="1073" spans="11:14" x14ac:dyDescent="0.3">
      <c r="K1073" s="477">
        <f>G257+G906</f>
        <v>4958153</v>
      </c>
      <c r="L1073" s="477" t="e">
        <f>#REF!+#REF!</f>
        <v>#REF!</v>
      </c>
      <c r="M1073" s="722" t="e">
        <f>H257+H906</f>
        <v>#REF!</v>
      </c>
      <c r="N1073" s="477" t="e">
        <f>I257+I906</f>
        <v>#REF!</v>
      </c>
    </row>
    <row r="1074" spans="11:14" x14ac:dyDescent="0.3">
      <c r="K1074" s="477"/>
      <c r="L1074" s="477"/>
      <c r="M1074" s="477"/>
      <c r="N1074" s="477"/>
    </row>
    <row r="1075" spans="11:14" x14ac:dyDescent="0.3">
      <c r="K1075" s="475">
        <f>SUM(K1076)</f>
        <v>0</v>
      </c>
      <c r="L1075" s="475">
        <f>SUM(L1076)</f>
        <v>0</v>
      </c>
      <c r="M1075" s="475">
        <f>SUM(M1076)</f>
        <v>0</v>
      </c>
      <c r="N1075" s="475">
        <f>SUM(N1076)</f>
        <v>0</v>
      </c>
    </row>
    <row r="1076" spans="11:14" x14ac:dyDescent="0.3">
      <c r="K1076" s="477"/>
      <c r="L1076" s="477"/>
      <c r="M1076" s="477"/>
      <c r="N1076" s="477"/>
    </row>
    <row r="1077" spans="11:14" x14ac:dyDescent="0.3">
      <c r="K1077" s="477"/>
      <c r="L1077" s="477"/>
      <c r="M1077" s="477"/>
      <c r="N1077" s="477"/>
    </row>
    <row r="1078" spans="11:14" x14ac:dyDescent="0.3">
      <c r="K1078" s="475">
        <f>SUM(K1079)</f>
        <v>0</v>
      </c>
      <c r="L1078" s="475">
        <f>SUM(L1079)</f>
        <v>0</v>
      </c>
      <c r="M1078" s="475">
        <f>SUM(M1079)</f>
        <v>0</v>
      </c>
      <c r="N1078" s="475">
        <f>SUM(N1079)</f>
        <v>0</v>
      </c>
    </row>
    <row r="1079" spans="11:14" x14ac:dyDescent="0.3">
      <c r="K1079" s="477"/>
      <c r="L1079" s="477"/>
      <c r="M1079" s="477"/>
      <c r="N1079" s="477"/>
    </row>
    <row r="1080" spans="11:14" x14ac:dyDescent="0.3">
      <c r="K1080" s="477"/>
      <c r="L1080" s="477"/>
      <c r="M1080" s="477"/>
      <c r="N1080" s="477"/>
    </row>
    <row r="1081" spans="11:14" x14ac:dyDescent="0.3">
      <c r="K1081" s="475">
        <f>SUM(K1082:K1083)</f>
        <v>0</v>
      </c>
      <c r="L1081" s="475" t="e">
        <f>SUM(L1082:L1083)</f>
        <v>#REF!</v>
      </c>
      <c r="M1081" s="475" t="e">
        <f>SUM(M1082:M1083)</f>
        <v>#REF!</v>
      </c>
      <c r="N1081" s="475" t="e">
        <f>SUM(N1082:N1083)</f>
        <v>#REF!</v>
      </c>
    </row>
    <row r="1082" spans="11:14" x14ac:dyDescent="0.3">
      <c r="K1082" s="477">
        <f>G271</f>
        <v>0</v>
      </c>
      <c r="L1082" s="477" t="e">
        <f>#REF!</f>
        <v>#REF!</v>
      </c>
      <c r="M1082" s="477" t="e">
        <f>H271</f>
        <v>#REF!</v>
      </c>
      <c r="N1082" s="477" t="e">
        <f>I271</f>
        <v>#REF!</v>
      </c>
    </row>
    <row r="1083" spans="11:14" x14ac:dyDescent="0.3">
      <c r="K1083" s="477">
        <f>G274</f>
        <v>0</v>
      </c>
      <c r="L1083" s="477" t="e">
        <f>#REF!</f>
        <v>#REF!</v>
      </c>
      <c r="M1083" s="477" t="e">
        <f>H274</f>
        <v>#REF!</v>
      </c>
      <c r="N1083" s="477" t="e">
        <f>I274</f>
        <v>#REF!</v>
      </c>
    </row>
    <row r="1084" spans="11:14" x14ac:dyDescent="0.3">
      <c r="K1084" s="477"/>
      <c r="L1084" s="477"/>
      <c r="M1084" s="477"/>
      <c r="N1084" s="477"/>
    </row>
    <row r="1085" spans="11:14" x14ac:dyDescent="0.3">
      <c r="K1085" s="475">
        <f>K1086</f>
        <v>0</v>
      </c>
      <c r="L1085" s="475" t="e">
        <f>L1086</f>
        <v>#REF!</v>
      </c>
      <c r="M1085" s="475" t="e">
        <f>M1086</f>
        <v>#REF!</v>
      </c>
      <c r="N1085" s="475" t="e">
        <f>N1086</f>
        <v>#REF!</v>
      </c>
    </row>
    <row r="1086" spans="11:14" x14ac:dyDescent="0.3">
      <c r="K1086" s="477">
        <f>G279</f>
        <v>0</v>
      </c>
      <c r="L1086" s="477" t="e">
        <f>#REF!</f>
        <v>#REF!</v>
      </c>
      <c r="M1086" s="477" t="e">
        <f>H279</f>
        <v>#REF!</v>
      </c>
      <c r="N1086" s="477" t="e">
        <f>I279</f>
        <v>#REF!</v>
      </c>
    </row>
    <row r="1087" spans="11:14" x14ac:dyDescent="0.3">
      <c r="K1087" s="477"/>
      <c r="L1087" s="477"/>
      <c r="M1087" s="477"/>
      <c r="N1087" s="477"/>
    </row>
    <row r="1088" spans="11:14" x14ac:dyDescent="0.3">
      <c r="K1088" s="475">
        <f t="shared" ref="K1088:N1088" si="183">K1089</f>
        <v>250000</v>
      </c>
      <c r="L1088" s="475" t="e">
        <f t="shared" si="183"/>
        <v>#REF!</v>
      </c>
      <c r="M1088" s="721">
        <f t="shared" si="183"/>
        <v>0</v>
      </c>
      <c r="N1088" s="475">
        <f t="shared" si="183"/>
        <v>0</v>
      </c>
    </row>
    <row r="1089" spans="11:14" x14ac:dyDescent="0.3">
      <c r="K1089" s="477">
        <f>G284</f>
        <v>250000</v>
      </c>
      <c r="L1089" s="477" t="e">
        <f>#REF!</f>
        <v>#REF!</v>
      </c>
      <c r="M1089" s="722">
        <f>H284</f>
        <v>0</v>
      </c>
      <c r="N1089" s="477">
        <f>I284</f>
        <v>0</v>
      </c>
    </row>
    <row r="1090" spans="11:14" x14ac:dyDescent="0.3">
      <c r="K1090" s="477"/>
      <c r="L1090" s="477"/>
      <c r="M1090" s="477"/>
      <c r="N1090" s="477"/>
    </row>
    <row r="1091" spans="11:14" x14ac:dyDescent="0.3">
      <c r="K1091" s="475">
        <f>SUM(K1092:K1093)</f>
        <v>0</v>
      </c>
      <c r="L1091" s="475" t="e">
        <f>SUM(L1092:L1093)</f>
        <v>#REF!</v>
      </c>
      <c r="M1091" s="475" t="e">
        <f>SUM(M1092:M1093)</f>
        <v>#REF!</v>
      </c>
      <c r="N1091" s="475" t="e">
        <f>SUM(N1092:N1093)</f>
        <v>#REF!</v>
      </c>
    </row>
    <row r="1092" spans="11:14" x14ac:dyDescent="0.3">
      <c r="K1092" s="477">
        <f>G299</f>
        <v>0</v>
      </c>
      <c r="L1092" s="477" t="e">
        <f>#REF!</f>
        <v>#REF!</v>
      </c>
      <c r="M1092" s="477" t="e">
        <f>H299</f>
        <v>#REF!</v>
      </c>
      <c r="N1092" s="477" t="e">
        <f>I299</f>
        <v>#REF!</v>
      </c>
    </row>
    <row r="1093" spans="11:14" x14ac:dyDescent="0.3">
      <c r="K1093" s="477">
        <f>G302</f>
        <v>0</v>
      </c>
      <c r="L1093" s="477" t="e">
        <f>#REF!</f>
        <v>#REF!</v>
      </c>
      <c r="M1093" s="477" t="e">
        <f>H302</f>
        <v>#REF!</v>
      </c>
      <c r="N1093" s="477" t="e">
        <f>I302</f>
        <v>#REF!</v>
      </c>
    </row>
    <row r="1094" spans="11:14" x14ac:dyDescent="0.3">
      <c r="K1094" s="477"/>
      <c r="L1094" s="477"/>
      <c r="M1094" s="477"/>
      <c r="N1094" s="477"/>
    </row>
    <row r="1095" spans="11:14" x14ac:dyDescent="0.3">
      <c r="K1095" s="475">
        <f>K1096</f>
        <v>0</v>
      </c>
      <c r="L1095" s="475" t="e">
        <f>L1096</f>
        <v>#REF!</v>
      </c>
      <c r="M1095" s="475" t="e">
        <f>M1096</f>
        <v>#REF!</v>
      </c>
      <c r="N1095" s="475" t="e">
        <f>N1096</f>
        <v>#REF!</v>
      </c>
    </row>
    <row r="1096" spans="11:14" x14ac:dyDescent="0.3">
      <c r="K1096" s="477">
        <f>G822</f>
        <v>0</v>
      </c>
      <c r="L1096" s="477" t="e">
        <f>#REF!</f>
        <v>#REF!</v>
      </c>
      <c r="M1096" s="477" t="e">
        <f>H822</f>
        <v>#REF!</v>
      </c>
      <c r="N1096" s="477" t="e">
        <f>I822</f>
        <v>#REF!</v>
      </c>
    </row>
    <row r="1097" spans="11:14" x14ac:dyDescent="0.3">
      <c r="K1097" s="477"/>
      <c r="L1097" s="477"/>
      <c r="M1097" s="477"/>
      <c r="N1097" s="477"/>
    </row>
    <row r="1098" spans="11:14" x14ac:dyDescent="0.3">
      <c r="K1098" s="475">
        <f>SUM(K1099)</f>
        <v>500000</v>
      </c>
      <c r="L1098" s="475" t="e">
        <f>SUM(L1099)</f>
        <v>#REF!</v>
      </c>
      <c r="M1098" s="721">
        <f>SUM(M1099)</f>
        <v>0</v>
      </c>
      <c r="N1098" s="475">
        <f>SUM(N1099)</f>
        <v>0</v>
      </c>
    </row>
    <row r="1099" spans="11:14" x14ac:dyDescent="0.3">
      <c r="K1099" s="477">
        <f>G306</f>
        <v>500000</v>
      </c>
      <c r="L1099" s="477" t="e">
        <f>#REF!</f>
        <v>#REF!</v>
      </c>
      <c r="M1099" s="722">
        <f>H306</f>
        <v>0</v>
      </c>
      <c r="N1099" s="477">
        <f>I306</f>
        <v>0</v>
      </c>
    </row>
    <row r="1100" spans="11:14" x14ac:dyDescent="0.3">
      <c r="K1100" s="477"/>
      <c r="L1100" s="477"/>
      <c r="M1100" s="477"/>
      <c r="N1100" s="477"/>
    </row>
    <row r="1101" spans="11:14" x14ac:dyDescent="0.3">
      <c r="K1101" s="475">
        <f>K1102</f>
        <v>0</v>
      </c>
      <c r="L1101" s="475" t="e">
        <f>L1102</f>
        <v>#REF!</v>
      </c>
      <c r="M1101" s="475" t="e">
        <f>M1102</f>
        <v>#REF!</v>
      </c>
      <c r="N1101" s="475" t="e">
        <f>N1102</f>
        <v>#REF!</v>
      </c>
    </row>
    <row r="1102" spans="11:14" ht="18" customHeight="1" x14ac:dyDescent="0.3">
      <c r="K1102" s="477">
        <f>G295+G957</f>
        <v>0</v>
      </c>
      <c r="L1102" s="477" t="e">
        <f>#REF!+#REF!</f>
        <v>#REF!</v>
      </c>
      <c r="M1102" s="477" t="e">
        <f>H295+H957</f>
        <v>#REF!</v>
      </c>
      <c r="N1102" s="477" t="e">
        <f>I295+I957</f>
        <v>#REF!</v>
      </c>
    </row>
    <row r="1103" spans="11:14" ht="18" customHeight="1" x14ac:dyDescent="0.3">
      <c r="K1103" s="477"/>
      <c r="L1103" s="477"/>
      <c r="M1103" s="477"/>
      <c r="N1103" s="477"/>
    </row>
    <row r="1104" spans="11:14" x14ac:dyDescent="0.3">
      <c r="K1104" s="475">
        <f t="shared" ref="K1104:N1104" si="184">K1105</f>
        <v>1350000</v>
      </c>
      <c r="L1104" s="475" t="e">
        <f t="shared" si="184"/>
        <v>#REF!</v>
      </c>
      <c r="M1104" s="721">
        <f t="shared" si="184"/>
        <v>0</v>
      </c>
      <c r="N1104" s="475">
        <f t="shared" si="184"/>
        <v>0</v>
      </c>
    </row>
    <row r="1105" spans="9:14" x14ac:dyDescent="0.3">
      <c r="K1105" s="477">
        <f>G311</f>
        <v>1350000</v>
      </c>
      <c r="L1105" s="477" t="e">
        <f>#REF!</f>
        <v>#REF!</v>
      </c>
      <c r="M1105" s="722">
        <f>H311</f>
        <v>0</v>
      </c>
      <c r="N1105" s="477">
        <f>I311</f>
        <v>0</v>
      </c>
    </row>
    <row r="1106" spans="9:14" x14ac:dyDescent="0.3">
      <c r="K1106" s="477"/>
      <c r="L1106" s="477"/>
      <c r="M1106" s="477"/>
      <c r="N1106" s="477"/>
    </row>
    <row r="1107" spans="9:14" x14ac:dyDescent="0.3">
      <c r="I1107">
        <f>1752000+181533</f>
        <v>1933533</v>
      </c>
      <c r="K1107" s="475">
        <f>SUM(K1108:K1109)</f>
        <v>0</v>
      </c>
      <c r="L1107" s="475" t="e">
        <f>SUM(L1108:L1109)</f>
        <v>#REF!</v>
      </c>
      <c r="M1107" s="475" t="e">
        <f>SUM(M1108:M1109)</f>
        <v>#REF!</v>
      </c>
      <c r="N1107" s="475" t="e">
        <f>SUM(N1108:N1109)</f>
        <v>#REF!</v>
      </c>
    </row>
    <row r="1108" spans="9:14" x14ac:dyDescent="0.3">
      <c r="K1108" s="477">
        <f>G322</f>
        <v>0</v>
      </c>
      <c r="L1108" s="477" t="e">
        <f>#REF!</f>
        <v>#REF!</v>
      </c>
      <c r="M1108" s="477" t="e">
        <f>H322</f>
        <v>#REF!</v>
      </c>
      <c r="N1108" s="477" t="e">
        <f>I322</f>
        <v>#REF!</v>
      </c>
    </row>
    <row r="1109" spans="9:14" x14ac:dyDescent="0.3">
      <c r="K1109" s="477">
        <f>G325+G915</f>
        <v>0</v>
      </c>
      <c r="L1109" s="477" t="e">
        <f>#REF!+#REF!</f>
        <v>#REF!</v>
      </c>
      <c r="M1109" s="477" t="e">
        <f>H325+H915</f>
        <v>#REF!</v>
      </c>
      <c r="N1109" s="477" t="e">
        <f>I325+I915</f>
        <v>#REF!</v>
      </c>
    </row>
    <row r="1110" spans="9:14" x14ac:dyDescent="0.3">
      <c r="K1110" s="477"/>
      <c r="L1110" s="477"/>
      <c r="M1110" s="477"/>
      <c r="N1110" s="477"/>
    </row>
    <row r="1111" spans="9:14" x14ac:dyDescent="0.3">
      <c r="K1111" s="481">
        <f>SUM(K1112:K1113)</f>
        <v>0</v>
      </c>
      <c r="L1111" s="481" t="e">
        <f>SUM(L1112:L1113)</f>
        <v>#REF!</v>
      </c>
      <c r="M1111" s="481" t="e">
        <f>SUM(M1112:M1113)</f>
        <v>#REF!</v>
      </c>
      <c r="N1111" s="481" t="e">
        <f>SUM(N1112:N1113)</f>
        <v>#REF!</v>
      </c>
    </row>
    <row r="1112" spans="9:14" x14ac:dyDescent="0.3">
      <c r="K1112" s="477">
        <f>G332</f>
        <v>0</v>
      </c>
      <c r="L1112" s="477" t="e">
        <f>#REF!</f>
        <v>#REF!</v>
      </c>
      <c r="M1112" s="477" t="e">
        <f>H332</f>
        <v>#REF!</v>
      </c>
      <c r="N1112" s="477" t="e">
        <f>I332</f>
        <v>#REF!</v>
      </c>
    </row>
    <row r="1113" spans="9:14" x14ac:dyDescent="0.3">
      <c r="K1113" s="477"/>
      <c r="L1113" s="477"/>
      <c r="M1113" s="477"/>
      <c r="N1113" s="477"/>
    </row>
    <row r="1114" spans="9:14" x14ac:dyDescent="0.3">
      <c r="K1114" s="477"/>
      <c r="L1114" s="477"/>
      <c r="M1114" s="477"/>
      <c r="N1114" s="477"/>
    </row>
    <row r="1115" spans="9:14" x14ac:dyDescent="0.3">
      <c r="K1115" s="475">
        <f>SUM(K1116)</f>
        <v>0</v>
      </c>
      <c r="L1115" s="475" t="e">
        <f>SUM(L1116)</f>
        <v>#REF!</v>
      </c>
      <c r="M1115" s="475" t="e">
        <f>SUM(M1116)</f>
        <v>#REF!</v>
      </c>
      <c r="N1115" s="475" t="e">
        <f>SUM(N1116)</f>
        <v>#REF!</v>
      </c>
    </row>
    <row r="1116" spans="9:14" x14ac:dyDescent="0.3">
      <c r="K1116" s="477">
        <f>G339</f>
        <v>0</v>
      </c>
      <c r="L1116" s="477" t="e">
        <f>#REF!</f>
        <v>#REF!</v>
      </c>
      <c r="M1116" s="477" t="e">
        <f>H339</f>
        <v>#REF!</v>
      </c>
      <c r="N1116" s="477" t="e">
        <f>I339</f>
        <v>#REF!</v>
      </c>
    </row>
    <row r="1117" spans="9:14" x14ac:dyDescent="0.3">
      <c r="K1117" s="477"/>
      <c r="L1117" s="477"/>
      <c r="M1117" s="477"/>
      <c r="N1117" s="477"/>
    </row>
    <row r="1118" spans="9:14" x14ac:dyDescent="0.3">
      <c r="K1118" s="475">
        <f>SUM(K1119:K1120)</f>
        <v>6520000</v>
      </c>
      <c r="L1118" s="475" t="e">
        <f>SUM(L1119:L1120)</f>
        <v>#REF!</v>
      </c>
      <c r="M1118" s="721" t="e">
        <f>SUM(M1119:M1120)</f>
        <v>#REF!</v>
      </c>
      <c r="N1118" s="475" t="e">
        <f>SUM(N1119:N1120)</f>
        <v>#REF!</v>
      </c>
    </row>
    <row r="1119" spans="9:14" x14ac:dyDescent="0.3">
      <c r="K1119" s="482">
        <f>G347</f>
        <v>0</v>
      </c>
      <c r="L1119" s="482" t="e">
        <f>#REF!</f>
        <v>#REF!</v>
      </c>
      <c r="M1119" s="723" t="e">
        <f>H347</f>
        <v>#REF!</v>
      </c>
      <c r="N1119" s="482" t="e">
        <f>I347</f>
        <v>#REF!</v>
      </c>
    </row>
    <row r="1120" spans="9:14" x14ac:dyDescent="0.3">
      <c r="K1120" s="477">
        <f>G350+G922</f>
        <v>6520000</v>
      </c>
      <c r="L1120" s="477" t="e">
        <f>#REF!+#REF!</f>
        <v>#REF!</v>
      </c>
      <c r="M1120" s="722" t="e">
        <f>H350+H922</f>
        <v>#REF!</v>
      </c>
      <c r="N1120" s="477" t="e">
        <f>I350+I922</f>
        <v>#REF!</v>
      </c>
    </row>
    <row r="1121" spans="11:14" x14ac:dyDescent="0.3">
      <c r="K1121" s="477"/>
      <c r="L1121" s="477"/>
      <c r="M1121" s="477"/>
      <c r="N1121" s="477"/>
    </row>
    <row r="1122" spans="11:14" x14ac:dyDescent="0.3">
      <c r="K1122" s="475">
        <f>SUM(K1123)</f>
        <v>0</v>
      </c>
      <c r="L1122" s="475" t="e">
        <f>SUM(L1123)</f>
        <v>#REF!</v>
      </c>
      <c r="M1122" s="475" t="e">
        <f>SUM(M1123)</f>
        <v>#REF!</v>
      </c>
      <c r="N1122" s="475" t="e">
        <f>SUM(N1123)</f>
        <v>#REF!</v>
      </c>
    </row>
    <row r="1123" spans="11:14" x14ac:dyDescent="0.3">
      <c r="K1123" s="477">
        <f>G359</f>
        <v>0</v>
      </c>
      <c r="L1123" s="477" t="e">
        <f>#REF!</f>
        <v>#REF!</v>
      </c>
      <c r="M1123" s="477" t="e">
        <f>H359</f>
        <v>#REF!</v>
      </c>
      <c r="N1123" s="477" t="e">
        <f>I359</f>
        <v>#REF!</v>
      </c>
    </row>
    <row r="1124" spans="11:14" x14ac:dyDescent="0.3">
      <c r="K1124" s="477"/>
      <c r="L1124" s="477"/>
      <c r="M1124" s="477"/>
      <c r="N1124" s="477"/>
    </row>
    <row r="1125" spans="11:14" x14ac:dyDescent="0.3">
      <c r="K1125" s="475">
        <f>SUM(K1126)</f>
        <v>0</v>
      </c>
      <c r="L1125" s="475" t="e">
        <f>SUM(L1126)</f>
        <v>#REF!</v>
      </c>
      <c r="M1125" s="475" t="e">
        <f>SUM(M1126)</f>
        <v>#REF!</v>
      </c>
      <c r="N1125" s="475" t="e">
        <f>SUM(N1126)</f>
        <v>#REF!</v>
      </c>
    </row>
    <row r="1126" spans="11:14" x14ac:dyDescent="0.3">
      <c r="K1126" s="477">
        <f>G365+G926</f>
        <v>0</v>
      </c>
      <c r="L1126" s="477" t="e">
        <f>#REF!+#REF!</f>
        <v>#REF!</v>
      </c>
      <c r="M1126" s="477" t="e">
        <f>H365+H926</f>
        <v>#REF!</v>
      </c>
      <c r="N1126" s="477" t="e">
        <f>I365+I926</f>
        <v>#REF!</v>
      </c>
    </row>
    <row r="1127" spans="11:14" x14ac:dyDescent="0.3">
      <c r="K1127" s="477"/>
      <c r="L1127" s="477"/>
      <c r="M1127" s="477"/>
      <c r="N1127" s="477"/>
    </row>
    <row r="1128" spans="11:14" x14ac:dyDescent="0.3">
      <c r="K1128" s="475">
        <f t="shared" ref="K1128:N1128" si="185">K1129</f>
        <v>1300000</v>
      </c>
      <c r="L1128" s="475" t="e">
        <f t="shared" si="185"/>
        <v>#REF!</v>
      </c>
      <c r="M1128" s="721">
        <f t="shared" si="185"/>
        <v>0</v>
      </c>
      <c r="N1128" s="475">
        <f t="shared" si="185"/>
        <v>0</v>
      </c>
    </row>
    <row r="1129" spans="11:14" x14ac:dyDescent="0.3">
      <c r="K1129" s="477">
        <f>G369</f>
        <v>1300000</v>
      </c>
      <c r="L1129" s="477" t="e">
        <f>#REF!</f>
        <v>#REF!</v>
      </c>
      <c r="M1129" s="722">
        <f>H369</f>
        <v>0</v>
      </c>
      <c r="N1129" s="477">
        <f>I369</f>
        <v>0</v>
      </c>
    </row>
    <row r="1130" spans="11:14" x14ac:dyDescent="0.3">
      <c r="K1130" s="477"/>
      <c r="L1130" s="477"/>
      <c r="M1130" s="477"/>
      <c r="N1130" s="477"/>
    </row>
    <row r="1131" spans="11:14" x14ac:dyDescent="0.3">
      <c r="K1131" s="475">
        <f>SUM(K1132:K1133)</f>
        <v>0</v>
      </c>
      <c r="L1131" s="475" t="e">
        <f>SUM(L1132:L1133)</f>
        <v>#REF!</v>
      </c>
      <c r="M1131" s="475" t="e">
        <f>SUM(M1132:M1133)</f>
        <v>#REF!</v>
      </c>
      <c r="N1131" s="475" t="e">
        <f>SUM(N1132:N1133)</f>
        <v>#REF!</v>
      </c>
    </row>
    <row r="1132" spans="11:14" x14ac:dyDescent="0.3">
      <c r="K1132" s="477">
        <f>G374</f>
        <v>0</v>
      </c>
      <c r="L1132" s="477" t="e">
        <f>#REF!</f>
        <v>#REF!</v>
      </c>
      <c r="M1132" s="477" t="e">
        <f>H374</f>
        <v>#REF!</v>
      </c>
      <c r="N1132" s="477" t="e">
        <f>I374</f>
        <v>#REF!</v>
      </c>
    </row>
    <row r="1133" spans="11:14" x14ac:dyDescent="0.3">
      <c r="K1133" s="477">
        <f>G377</f>
        <v>0</v>
      </c>
      <c r="L1133" s="477" t="e">
        <f>#REF!</f>
        <v>#REF!</v>
      </c>
      <c r="M1133" s="477" t="e">
        <f>H377</f>
        <v>#REF!</v>
      </c>
      <c r="N1133" s="477" t="e">
        <f>I377</f>
        <v>#REF!</v>
      </c>
    </row>
    <row r="1134" spans="11:14" x14ac:dyDescent="0.3">
      <c r="K1134" s="477"/>
      <c r="L1134" s="477"/>
      <c r="M1134" s="477"/>
      <c r="N1134" s="477"/>
    </row>
    <row r="1135" spans="11:14" x14ac:dyDescent="0.3">
      <c r="K1135" s="475">
        <f>SUM(K1136:K1137)</f>
        <v>22960122</v>
      </c>
      <c r="L1135" s="475" t="e">
        <f>SUM(L1136:L1137)</f>
        <v>#REF!</v>
      </c>
      <c r="M1135" s="721" t="e">
        <f>SUM(M1136:M1137)</f>
        <v>#REF!</v>
      </c>
      <c r="N1135" s="475" t="e">
        <f>SUM(N1136:N1137)</f>
        <v>#REF!</v>
      </c>
    </row>
    <row r="1136" spans="11:14" x14ac:dyDescent="0.3">
      <c r="K1136" s="477">
        <f>G396+G935+G671+G757+G811</f>
        <v>22960122</v>
      </c>
      <c r="L1136" s="477" t="e">
        <f>#REF!+#REF!+#REF!+#REF!+#REF!</f>
        <v>#REF!</v>
      </c>
      <c r="M1136" s="722" t="e">
        <f>H396+H935+H671+H757+H811</f>
        <v>#REF!</v>
      </c>
      <c r="N1136" s="477" t="e">
        <f>I396+I935+I671+I757+I811</f>
        <v>#REF!</v>
      </c>
    </row>
    <row r="1137" spans="9:14" x14ac:dyDescent="0.3">
      <c r="K1137" s="477">
        <f>G477</f>
        <v>0</v>
      </c>
      <c r="L1137" s="477" t="e">
        <f>#REF!</f>
        <v>#REF!</v>
      </c>
      <c r="M1137" s="722">
        <f>H477</f>
        <v>0</v>
      </c>
      <c r="N1137" s="477">
        <f>I477</f>
        <v>0</v>
      </c>
    </row>
    <row r="1138" spans="9:14" x14ac:dyDescent="0.3">
      <c r="K1138" s="477"/>
      <c r="L1138" s="477"/>
      <c r="M1138" s="477"/>
      <c r="N1138" s="477"/>
    </row>
    <row r="1139" spans="9:14" x14ac:dyDescent="0.3">
      <c r="K1139" s="475">
        <f>K1140</f>
        <v>98000</v>
      </c>
      <c r="L1139" s="475" t="e">
        <f>L1140</f>
        <v>#REF!</v>
      </c>
      <c r="M1139" s="721">
        <f>M1140</f>
        <v>48000</v>
      </c>
      <c r="N1139" s="475">
        <f>N1140</f>
        <v>48.979591836734691</v>
      </c>
    </row>
    <row r="1140" spans="9:14" x14ac:dyDescent="0.3">
      <c r="K1140" s="477">
        <f>G621</f>
        <v>98000</v>
      </c>
      <c r="L1140" s="477" t="e">
        <f>#REF!</f>
        <v>#REF!</v>
      </c>
      <c r="M1140" s="722">
        <f>H621</f>
        <v>48000</v>
      </c>
      <c r="N1140" s="477">
        <f>I621</f>
        <v>48.979591836734691</v>
      </c>
    </row>
    <row r="1141" spans="9:14" x14ac:dyDescent="0.3">
      <c r="K1141" s="477"/>
      <c r="L1141" s="477"/>
      <c r="M1141" s="477"/>
      <c r="N1141" s="477"/>
    </row>
    <row r="1142" spans="9:14" x14ac:dyDescent="0.3">
      <c r="K1142" s="477"/>
      <c r="L1142" s="477"/>
      <c r="M1142" s="477"/>
      <c r="N1142" s="477"/>
    </row>
    <row r="1143" spans="9:14" x14ac:dyDescent="0.3">
      <c r="I1143">
        <f>795000+2655000</f>
        <v>3450000</v>
      </c>
      <c r="K1143" s="475">
        <f>K1144</f>
        <v>1658355</v>
      </c>
      <c r="L1143" s="475" t="e">
        <f>L1144</f>
        <v>#REF!</v>
      </c>
      <c r="M1143" s="721" t="e">
        <f>M1144</f>
        <v>#REF!</v>
      </c>
      <c r="N1143" s="475" t="e">
        <f>N1144</f>
        <v>#REF!</v>
      </c>
    </row>
    <row r="1144" spans="9:14" x14ac:dyDescent="0.3">
      <c r="K1144" s="477">
        <f>G481+G688</f>
        <v>1658355</v>
      </c>
      <c r="L1144" s="477" t="e">
        <f>#REF!+#REF!</f>
        <v>#REF!</v>
      </c>
      <c r="M1144" s="722" t="e">
        <f>H481+H688</f>
        <v>#REF!</v>
      </c>
      <c r="N1144" s="477" t="e">
        <f>I481+I688</f>
        <v>#REF!</v>
      </c>
    </row>
    <row r="1145" spans="9:14" x14ac:dyDescent="0.3">
      <c r="K1145" s="477"/>
      <c r="L1145" s="477"/>
      <c r="M1145" s="477"/>
      <c r="N1145" s="477"/>
    </row>
    <row r="1146" spans="9:14" x14ac:dyDescent="0.3">
      <c r="K1146" s="475">
        <f>SUM(K1147:K1148)</f>
        <v>0</v>
      </c>
      <c r="L1146" s="475" t="e">
        <f>SUM(L1147:L1148)</f>
        <v>#REF!</v>
      </c>
      <c r="M1146" s="475" t="e">
        <f>SUM(M1147:M1148)</f>
        <v>#REF!</v>
      </c>
      <c r="N1146" s="475" t="e">
        <f>SUM(N1147:N1148)</f>
        <v>#REF!</v>
      </c>
    </row>
    <row r="1147" spans="9:14" x14ac:dyDescent="0.3">
      <c r="K1147" s="477">
        <f>G487</f>
        <v>0</v>
      </c>
      <c r="L1147" s="477" t="e">
        <f>#REF!</f>
        <v>#REF!</v>
      </c>
      <c r="M1147" s="477" t="e">
        <f>H487</f>
        <v>#REF!</v>
      </c>
      <c r="N1147" s="477" t="e">
        <f>I487</f>
        <v>#REF!</v>
      </c>
    </row>
    <row r="1148" spans="9:14" x14ac:dyDescent="0.3">
      <c r="K1148" s="477">
        <f>G491</f>
        <v>0</v>
      </c>
      <c r="L1148" s="477" t="e">
        <f>#REF!</f>
        <v>#REF!</v>
      </c>
      <c r="M1148" s="477" t="e">
        <f>H491</f>
        <v>#REF!</v>
      </c>
      <c r="N1148" s="477" t="e">
        <f>I491</f>
        <v>#REF!</v>
      </c>
    </row>
    <row r="1149" spans="9:14" x14ac:dyDescent="0.3">
      <c r="K1149" s="477"/>
      <c r="L1149" s="477"/>
      <c r="M1149" s="477"/>
      <c r="N1149" s="477"/>
    </row>
    <row r="1150" spans="9:14" x14ac:dyDescent="0.3">
      <c r="K1150" s="475">
        <f>SUM(K1151)</f>
        <v>0</v>
      </c>
      <c r="L1150" s="475" t="e">
        <f>SUM(L1151)</f>
        <v>#REF!</v>
      </c>
      <c r="M1150" s="475" t="e">
        <f>SUM(M1151)</f>
        <v>#REF!</v>
      </c>
      <c r="N1150" s="475" t="e">
        <f>SUM(N1151)</f>
        <v>#REF!</v>
      </c>
    </row>
    <row r="1151" spans="9:14" x14ac:dyDescent="0.3">
      <c r="K1151" s="477">
        <f>G499</f>
        <v>0</v>
      </c>
      <c r="L1151" s="477" t="e">
        <f>#REF!</f>
        <v>#REF!</v>
      </c>
      <c r="M1151" s="477" t="e">
        <f>H499</f>
        <v>#REF!</v>
      </c>
      <c r="N1151" s="477" t="e">
        <f>I499</f>
        <v>#REF!</v>
      </c>
    </row>
    <row r="1152" spans="9:14" x14ac:dyDescent="0.3">
      <c r="K1152" s="477"/>
      <c r="L1152" s="477"/>
      <c r="M1152" s="477"/>
      <c r="N1152" s="477"/>
    </row>
    <row r="1153" spans="9:15" x14ac:dyDescent="0.3">
      <c r="K1153" s="475">
        <f>K1154</f>
        <v>0</v>
      </c>
      <c r="L1153" s="475" t="e">
        <f>L1154</f>
        <v>#REF!</v>
      </c>
      <c r="M1153" s="475" t="e">
        <f>M1154</f>
        <v>#REF!</v>
      </c>
      <c r="N1153" s="475" t="e">
        <f>N1154</f>
        <v>#REF!</v>
      </c>
    </row>
    <row r="1154" spans="9:15" x14ac:dyDescent="0.3">
      <c r="K1154" s="477">
        <f>G503</f>
        <v>0</v>
      </c>
      <c r="L1154" s="477" t="e">
        <f>#REF!</f>
        <v>#REF!</v>
      </c>
      <c r="M1154" s="477" t="e">
        <f>H503</f>
        <v>#REF!</v>
      </c>
      <c r="N1154" s="477" t="e">
        <f>I503</f>
        <v>#REF!</v>
      </c>
    </row>
    <row r="1155" spans="9:15" x14ac:dyDescent="0.3">
      <c r="K1155" s="477"/>
      <c r="L1155" s="477"/>
      <c r="M1155" s="477"/>
      <c r="N1155" s="477"/>
    </row>
    <row r="1156" spans="9:15" x14ac:dyDescent="0.3">
      <c r="K1156" s="475">
        <f>SUM(K1157:K1158)</f>
        <v>768684</v>
      </c>
      <c r="L1156" s="475" t="e">
        <f>SUM(L1157:L1158)</f>
        <v>#REF!</v>
      </c>
      <c r="M1156" s="721" t="e">
        <f>SUM(M1157:M1158)</f>
        <v>#REF!</v>
      </c>
      <c r="N1156" s="475" t="e">
        <f>SUM(N1157:N1158)</f>
        <v>#REF!</v>
      </c>
    </row>
    <row r="1157" spans="9:15" x14ac:dyDescent="0.3">
      <c r="I1157">
        <f>1050000+982000</f>
        <v>2032000</v>
      </c>
      <c r="K1157" s="477">
        <f>G511+G694+G788</f>
        <v>768684</v>
      </c>
      <c r="L1157" s="477" t="e">
        <f>#REF!+#REF!+#REF!</f>
        <v>#REF!</v>
      </c>
      <c r="M1157" s="722" t="e">
        <f>H511+H694+H788</f>
        <v>#REF!</v>
      </c>
      <c r="N1157" s="477" t="e">
        <f>I511+I694+I788</f>
        <v>#REF!</v>
      </c>
    </row>
    <row r="1158" spans="9:15" x14ac:dyDescent="0.3">
      <c r="K1158" s="477">
        <f>G517</f>
        <v>0</v>
      </c>
      <c r="L1158" s="477" t="e">
        <f>#REF!</f>
        <v>#REF!</v>
      </c>
      <c r="M1158" s="722">
        <f>H517</f>
        <v>0</v>
      </c>
      <c r="N1158" s="477">
        <f>I517</f>
        <v>0</v>
      </c>
      <c r="O1158" s="477"/>
    </row>
    <row r="1159" spans="9:15" x14ac:dyDescent="0.3">
      <c r="K1159" s="477"/>
      <c r="L1159" s="477"/>
      <c r="M1159" s="477"/>
      <c r="N1159" s="477"/>
    </row>
    <row r="1160" spans="9:15" x14ac:dyDescent="0.3">
      <c r="K1160" s="475">
        <f>SUM(K1161:K1162)</f>
        <v>0</v>
      </c>
      <c r="L1160" s="475" t="e">
        <f>SUM(L1161:L1162)</f>
        <v>#REF!</v>
      </c>
      <c r="M1160" s="475" t="e">
        <f>SUM(M1161:M1162)</f>
        <v>#REF!</v>
      </c>
      <c r="N1160" s="475">
        <f>SUM(N1161:N1162)</f>
        <v>0</v>
      </c>
    </row>
    <row r="1161" spans="9:15" x14ac:dyDescent="0.3">
      <c r="K1161" s="477">
        <f>G523</f>
        <v>0</v>
      </c>
      <c r="L1161" s="477" t="e">
        <f>#REF!</f>
        <v>#REF!</v>
      </c>
      <c r="M1161" s="477" t="e">
        <f>H523</f>
        <v>#REF!</v>
      </c>
      <c r="N1161" s="477">
        <f>I523</f>
        <v>0</v>
      </c>
    </row>
    <row r="1162" spans="9:15" x14ac:dyDescent="0.3">
      <c r="K1162" s="477">
        <f>G526</f>
        <v>0</v>
      </c>
      <c r="L1162" s="477" t="e">
        <f>#REF!</f>
        <v>#REF!</v>
      </c>
      <c r="M1162" s="477" t="e">
        <f>H526</f>
        <v>#REF!</v>
      </c>
      <c r="N1162" s="477">
        <f>I526</f>
        <v>0</v>
      </c>
    </row>
    <row r="1163" spans="9:15" x14ac:dyDescent="0.3">
      <c r="K1163" s="477"/>
      <c r="L1163" s="477"/>
      <c r="M1163" s="477"/>
      <c r="N1163" s="477"/>
    </row>
    <row r="1164" spans="9:15" x14ac:dyDescent="0.3">
      <c r="K1164" s="475">
        <f>K1165</f>
        <v>0</v>
      </c>
      <c r="L1164" s="475" t="e">
        <f>L1165</f>
        <v>#REF!</v>
      </c>
      <c r="M1164" s="475" t="e">
        <f>M1165</f>
        <v>#REF!</v>
      </c>
      <c r="N1164" s="475">
        <f>N1165</f>
        <v>0</v>
      </c>
    </row>
    <row r="1165" spans="9:15" x14ac:dyDescent="0.3">
      <c r="K1165" s="477">
        <f>G532</f>
        <v>0</v>
      </c>
      <c r="L1165" s="477" t="e">
        <f>#REF!</f>
        <v>#REF!</v>
      </c>
      <c r="M1165" s="477" t="e">
        <f>H532</f>
        <v>#REF!</v>
      </c>
      <c r="N1165" s="477">
        <f>I532</f>
        <v>0</v>
      </c>
    </row>
    <row r="1166" spans="9:15" x14ac:dyDescent="0.3">
      <c r="K1166" s="477"/>
      <c r="L1166" s="477"/>
      <c r="M1166" s="477"/>
      <c r="N1166" s="477"/>
    </row>
    <row r="1167" spans="9:15" x14ac:dyDescent="0.3">
      <c r="K1167" s="475">
        <f>SUM(K1168:K1169)</f>
        <v>0</v>
      </c>
      <c r="L1167" s="475" t="e">
        <f>SUM(L1168:L1169)</f>
        <v>#REF!</v>
      </c>
      <c r="M1167" s="475" t="e">
        <f>SUM(M1168:M1169)</f>
        <v>#REF!</v>
      </c>
      <c r="N1167" s="475" t="e">
        <f>SUM(N1168:N1169)</f>
        <v>#REF!</v>
      </c>
    </row>
    <row r="1168" spans="9:15" x14ac:dyDescent="0.3">
      <c r="K1168" s="477"/>
      <c r="L1168" s="477"/>
      <c r="M1168" s="477"/>
      <c r="N1168" s="477"/>
    </row>
    <row r="1169" spans="9:14" x14ac:dyDescent="0.3">
      <c r="K1169" s="477">
        <f>G976</f>
        <v>0</v>
      </c>
      <c r="L1169" s="477" t="e">
        <f>#REF!</f>
        <v>#REF!</v>
      </c>
      <c r="M1169" s="477" t="e">
        <f>H976</f>
        <v>#REF!</v>
      </c>
      <c r="N1169" s="477" t="e">
        <f>I976</f>
        <v>#REF!</v>
      </c>
    </row>
    <row r="1170" spans="9:14" x14ac:dyDescent="0.3">
      <c r="K1170" s="477"/>
      <c r="L1170" s="477"/>
      <c r="M1170" s="477"/>
      <c r="N1170" s="477"/>
    </row>
    <row r="1171" spans="9:14" x14ac:dyDescent="0.3">
      <c r="K1171" s="475">
        <f>SUM(K1172:K1174)</f>
        <v>17111441</v>
      </c>
      <c r="L1171" s="475" t="e">
        <f>SUM(L1172:L1174)</f>
        <v>#REF!</v>
      </c>
      <c r="M1171" s="721" t="e">
        <f>SUM(M1172:M1174)</f>
        <v>#REF!</v>
      </c>
      <c r="N1171" s="475" t="e">
        <f>SUM(N1172:N1174)</f>
        <v>#REF!</v>
      </c>
    </row>
    <row r="1172" spans="9:14" x14ac:dyDescent="0.3">
      <c r="K1172" s="477">
        <f>G537</f>
        <v>300000</v>
      </c>
      <c r="L1172" s="477" t="e">
        <f>#REF!</f>
        <v>#REF!</v>
      </c>
      <c r="M1172" s="722">
        <f>H537</f>
        <v>0</v>
      </c>
      <c r="N1172" s="477">
        <f>I537</f>
        <v>0</v>
      </c>
    </row>
    <row r="1173" spans="9:14" x14ac:dyDescent="0.3">
      <c r="K1173" s="477">
        <f>G542+G698+G792</f>
        <v>10204923</v>
      </c>
      <c r="L1173" s="477" t="e">
        <f>#REF!+#REF!+#REF!</f>
        <v>#REF!</v>
      </c>
      <c r="M1173" s="722" t="e">
        <f>H542+H698+H792</f>
        <v>#REF!</v>
      </c>
      <c r="N1173" s="477" t="e">
        <f>I542+I698+I792</f>
        <v>#REF!</v>
      </c>
    </row>
    <row r="1174" spans="9:14" x14ac:dyDescent="0.3">
      <c r="K1174" s="477">
        <f>G583+G702</f>
        <v>6606518</v>
      </c>
      <c r="L1174" s="477" t="e">
        <f>#REF!+#REF!</f>
        <v>#REF!</v>
      </c>
      <c r="M1174" s="722" t="e">
        <f>H583+H702</f>
        <v>#REF!</v>
      </c>
      <c r="N1174" s="477" t="e">
        <f>I583+I702</f>
        <v>#REF!</v>
      </c>
    </row>
    <row r="1175" spans="9:14" x14ac:dyDescent="0.3">
      <c r="K1175" s="477"/>
      <c r="L1175" s="477"/>
      <c r="M1175" s="477"/>
      <c r="N1175" s="477"/>
    </row>
    <row r="1176" spans="9:14" x14ac:dyDescent="0.3">
      <c r="K1176" s="475">
        <f>K1177</f>
        <v>0</v>
      </c>
      <c r="L1176" s="475" t="e">
        <f>L1177</f>
        <v>#REF!</v>
      </c>
      <c r="M1176" s="475" t="e">
        <f>M1177</f>
        <v>#REF!</v>
      </c>
      <c r="N1176" s="475" t="e">
        <f>N1177</f>
        <v>#REF!</v>
      </c>
    </row>
    <row r="1177" spans="9:14" x14ac:dyDescent="0.3">
      <c r="K1177" s="477">
        <f>G834</f>
        <v>0</v>
      </c>
      <c r="L1177" s="477" t="e">
        <f>#REF!</f>
        <v>#REF!</v>
      </c>
      <c r="M1177" s="477" t="e">
        <f>H834</f>
        <v>#REF!</v>
      </c>
      <c r="N1177" s="477" t="e">
        <f>I834</f>
        <v>#REF!</v>
      </c>
    </row>
    <row r="1178" spans="9:14" x14ac:dyDescent="0.3">
      <c r="K1178" s="477"/>
      <c r="L1178" s="477"/>
      <c r="M1178" s="477"/>
      <c r="N1178" s="477"/>
    </row>
    <row r="1179" spans="9:14" x14ac:dyDescent="0.3">
      <c r="I1179">
        <f>5054223+205000000</f>
        <v>210054223</v>
      </c>
      <c r="K1179" s="475">
        <f>SUM(K1180)</f>
        <v>1000000</v>
      </c>
      <c r="L1179" s="475" t="e">
        <f>SUM(L1180)</f>
        <v>#REF!</v>
      </c>
      <c r="M1179" s="721" t="e">
        <f>SUM(M1180)</f>
        <v>#REF!</v>
      </c>
      <c r="N1179" s="475" t="e">
        <f>SUM(N1180)</f>
        <v>#REF!</v>
      </c>
    </row>
    <row r="1180" spans="9:14" x14ac:dyDescent="0.3">
      <c r="K1180" s="477">
        <f>G601+G797+G707</f>
        <v>1000000</v>
      </c>
      <c r="L1180" s="477" t="e">
        <f>#REF!+#REF!+#REF!</f>
        <v>#REF!</v>
      </c>
      <c r="M1180" s="722" t="e">
        <f>H601+H797+H707</f>
        <v>#REF!</v>
      </c>
      <c r="N1180" s="477" t="e">
        <f>I601+I797+I707</f>
        <v>#REF!</v>
      </c>
    </row>
    <row r="1181" spans="9:14" x14ac:dyDescent="0.3">
      <c r="K1181" s="477"/>
      <c r="L1181" s="477"/>
      <c r="M1181" s="477"/>
      <c r="N1181" s="477"/>
    </row>
    <row r="1182" spans="9:14" x14ac:dyDescent="0.3">
      <c r="I1182">
        <f>11340+600000</f>
        <v>611340</v>
      </c>
      <c r="K1182" s="475">
        <f>SUM(K1183:K1184)</f>
        <v>150000</v>
      </c>
      <c r="L1182" s="475" t="e">
        <f>SUM(L1183:L1184)</f>
        <v>#REF!</v>
      </c>
      <c r="M1182" s="721" t="e">
        <f>SUM(M1183:M1184)</f>
        <v>#REF!</v>
      </c>
      <c r="N1182" s="475" t="e">
        <f>SUM(N1183:N1184)</f>
        <v>#REF!</v>
      </c>
    </row>
    <row r="1183" spans="9:14" x14ac:dyDescent="0.3">
      <c r="K1183" s="477">
        <f>G711+G609</f>
        <v>150000</v>
      </c>
      <c r="L1183" s="477" t="e">
        <f>#REF!+#REF!</f>
        <v>#REF!</v>
      </c>
      <c r="M1183" s="722" t="e">
        <f>H711+H609</f>
        <v>#REF!</v>
      </c>
      <c r="N1183" s="477" t="e">
        <f>I711+I609</f>
        <v>#REF!</v>
      </c>
    </row>
    <row r="1184" spans="9:14" x14ac:dyDescent="0.3">
      <c r="K1184" s="477">
        <f>G614</f>
        <v>0</v>
      </c>
      <c r="L1184" s="477" t="e">
        <f>#REF!</f>
        <v>#REF!</v>
      </c>
      <c r="M1184" s="722">
        <f>H614</f>
        <v>0</v>
      </c>
      <c r="N1184" s="477">
        <f>I614</f>
        <v>0</v>
      </c>
    </row>
    <row r="1185" spans="9:15" x14ac:dyDescent="0.3">
      <c r="K1185" s="477"/>
      <c r="L1185" s="477"/>
      <c r="M1185" s="477"/>
      <c r="N1185" s="477"/>
    </row>
    <row r="1186" spans="9:15" x14ac:dyDescent="0.3">
      <c r="K1186" s="477">
        <f>G627</f>
        <v>0</v>
      </c>
      <c r="L1186" s="477" t="e">
        <f>#REF!</f>
        <v>#REF!</v>
      </c>
      <c r="M1186" s="477" t="e">
        <f>H627</f>
        <v>#REF!</v>
      </c>
      <c r="N1186" s="477">
        <f>I627</f>
        <v>0</v>
      </c>
    </row>
    <row r="1187" spans="9:15" x14ac:dyDescent="0.3">
      <c r="K1187" s="477"/>
      <c r="L1187" s="477"/>
      <c r="M1187" s="722"/>
      <c r="N1187" s="477"/>
    </row>
    <row r="1188" spans="9:15" x14ac:dyDescent="0.3">
      <c r="I1188">
        <f>41746000+1813000</f>
        <v>43559000</v>
      </c>
      <c r="K1188" s="475">
        <f>SUM(K1189:K1190)</f>
        <v>16000000</v>
      </c>
      <c r="L1188" s="475" t="e">
        <f>SUM(L1189:L1190)</f>
        <v>#REF!</v>
      </c>
      <c r="M1188" s="721" t="e">
        <f>SUM(M1189:M1190)</f>
        <v>#REF!</v>
      </c>
      <c r="N1188" s="475" t="e">
        <f>SUM(N1189:N1190)</f>
        <v>#REF!</v>
      </c>
      <c r="O1188" s="477"/>
    </row>
    <row r="1189" spans="9:15" x14ac:dyDescent="0.3">
      <c r="K1189" s="477">
        <f>G188+G658</f>
        <v>16000000</v>
      </c>
      <c r="L1189" s="477" t="e">
        <f>#REF!+#REF!</f>
        <v>#REF!</v>
      </c>
      <c r="M1189" s="722" t="e">
        <f>H188+H658</f>
        <v>#REF!</v>
      </c>
      <c r="N1189" s="477" t="e">
        <f>I188+I658</f>
        <v>#REF!</v>
      </c>
    </row>
    <row r="1190" spans="9:15" x14ac:dyDescent="0.3">
      <c r="K1190" s="477"/>
      <c r="L1190" s="477"/>
      <c r="M1190" s="477"/>
      <c r="N1190" s="477"/>
    </row>
    <row r="1191" spans="9:15" ht="29.25" customHeight="1" x14ac:dyDescent="0.3">
      <c r="K1191" s="475">
        <f t="shared" ref="K1191:N1191" si="186">K984+K992+K996+K1000+K1003+K1006+K1009+K1012+K1015+K1019+K1024+K1027+K1031+K1035+K1039+K1042+K1045+K1049+K1052+K1055+K1058+K1067+K1071+K1075+K1078+K1081+K1085+K1091+K1095+K1098+K1101+K1107+K1111+K1115+K1122+K1118+K1131+K1135+K1139+K1143+K1153+K1125+K1160+K1164+K1167+K1146+K1150+K1156+K1171+K1176+K1179+K1182+K1186+K1188+K1088+K1104+K1128</f>
        <v>103458288.96000001</v>
      </c>
      <c r="L1191" s="475" t="e">
        <f t="shared" si="186"/>
        <v>#REF!</v>
      </c>
      <c r="M1191" s="475" t="e">
        <f t="shared" si="186"/>
        <v>#REF!</v>
      </c>
      <c r="N1191" s="475" t="e">
        <f t="shared" si="186"/>
        <v>#REF!</v>
      </c>
    </row>
    <row r="1194" spans="9:15" x14ac:dyDescent="0.25">
      <c r="K1194" s="483">
        <f>G641</f>
        <v>103458288.95999999</v>
      </c>
      <c r="L1194" s="483" t="e">
        <f>#REF!</f>
        <v>#REF!</v>
      </c>
      <c r="M1194" s="483">
        <f>H641</f>
        <v>32956098.890000001</v>
      </c>
      <c r="N1194" s="483">
        <f>I641</f>
        <v>31.854478960832029</v>
      </c>
    </row>
    <row r="1196" spans="9:15" x14ac:dyDescent="0.25">
      <c r="K1196" s="25">
        <f>K1194-K1191</f>
        <v>0</v>
      </c>
      <c r="L1196" s="25" t="e">
        <f>L1194-L1191</f>
        <v>#REF!</v>
      </c>
      <c r="M1196" s="25" t="e">
        <f>M1194-M1191</f>
        <v>#REF!</v>
      </c>
      <c r="N1196" s="25" t="e">
        <f>N1194-N1191</f>
        <v>#REF!</v>
      </c>
    </row>
    <row r="1199" spans="9:15" x14ac:dyDescent="0.25">
      <c r="N1199" s="9">
        <v>8300</v>
      </c>
    </row>
    <row r="1200" spans="9:15" x14ac:dyDescent="0.25">
      <c r="K1200" s="25">
        <f t="shared" ref="K1200:N1200" si="187">K1191+K1199</f>
        <v>103458288.96000001</v>
      </c>
      <c r="L1200" s="25" t="e">
        <f t="shared" si="187"/>
        <v>#REF!</v>
      </c>
      <c r="M1200" s="25" t="e">
        <f t="shared" si="187"/>
        <v>#REF!</v>
      </c>
      <c r="N1200" s="25" t="e">
        <f t="shared" si="187"/>
        <v>#REF!</v>
      </c>
    </row>
  </sheetData>
  <mergeCells count="106">
    <mergeCell ref="H983:I983"/>
    <mergeCell ref="D647:H647"/>
    <mergeCell ref="G649:G650"/>
    <mergeCell ref="F649:F650"/>
    <mergeCell ref="E649:E650"/>
    <mergeCell ref="D649:D650"/>
    <mergeCell ref="H649:H650"/>
    <mergeCell ref="I649:I650"/>
    <mergeCell ref="K1:M1"/>
    <mergeCell ref="A3:J3"/>
    <mergeCell ref="A4:J4"/>
    <mergeCell ref="A6:A7"/>
    <mergeCell ref="B6:B7"/>
    <mergeCell ref="C6:C7"/>
    <mergeCell ref="D6:D7"/>
    <mergeCell ref="E6:E7"/>
    <mergeCell ref="F6:F7"/>
    <mergeCell ref="G6:G7"/>
    <mergeCell ref="A2:J2"/>
    <mergeCell ref="H6:H7"/>
    <mergeCell ref="I6:I7"/>
    <mergeCell ref="K11:M11"/>
    <mergeCell ref="C639:D639"/>
    <mergeCell ref="C642:D642"/>
    <mergeCell ref="C643:D643"/>
    <mergeCell ref="C722:D722"/>
    <mergeCell ref="D725:H725"/>
    <mergeCell ref="A727:A728"/>
    <mergeCell ref="B727:B728"/>
    <mergeCell ref="C727:C728"/>
    <mergeCell ref="D727:D728"/>
    <mergeCell ref="E727:E728"/>
    <mergeCell ref="F727:F728"/>
    <mergeCell ref="G727:G728"/>
    <mergeCell ref="H727:I727"/>
    <mergeCell ref="C649:C650"/>
    <mergeCell ref="B649:B650"/>
    <mergeCell ref="A649:A650"/>
    <mergeCell ref="D646:H646"/>
    <mergeCell ref="C803:D803"/>
    <mergeCell ref="A805:I805"/>
    <mergeCell ref="A807:A808"/>
    <mergeCell ref="B807:B808"/>
    <mergeCell ref="C807:C808"/>
    <mergeCell ref="D807:D808"/>
    <mergeCell ref="E807:E808"/>
    <mergeCell ref="F807:F808"/>
    <mergeCell ref="G807:G808"/>
    <mergeCell ref="H807:I807"/>
    <mergeCell ref="B816:H816"/>
    <mergeCell ref="A818:A819"/>
    <mergeCell ref="B818:B819"/>
    <mergeCell ref="C818:C819"/>
    <mergeCell ref="D818:D819"/>
    <mergeCell ref="E818:E819"/>
    <mergeCell ref="F818:F819"/>
    <mergeCell ref="G818:G819"/>
    <mergeCell ref="H818:I818"/>
    <mergeCell ref="H843:I843"/>
    <mergeCell ref="D827:G828"/>
    <mergeCell ref="A830:A831"/>
    <mergeCell ref="B830:B831"/>
    <mergeCell ref="C830:C831"/>
    <mergeCell ref="D830:D831"/>
    <mergeCell ref="E830:E831"/>
    <mergeCell ref="F830:F831"/>
    <mergeCell ref="G830:G831"/>
    <mergeCell ref="G843:G844"/>
    <mergeCell ref="B951:H951"/>
    <mergeCell ref="A953:A954"/>
    <mergeCell ref="B953:B954"/>
    <mergeCell ref="C953:C954"/>
    <mergeCell ref="D953:D954"/>
    <mergeCell ref="E953:E954"/>
    <mergeCell ref="F953:F954"/>
    <mergeCell ref="G953:G954"/>
    <mergeCell ref="H953:I953"/>
    <mergeCell ref="A853:A854"/>
    <mergeCell ref="B853:B854"/>
    <mergeCell ref="C853:C854"/>
    <mergeCell ref="D853:D854"/>
    <mergeCell ref="E853:E854"/>
    <mergeCell ref="F853:F854"/>
    <mergeCell ref="G853:G854"/>
    <mergeCell ref="C641:D641"/>
    <mergeCell ref="D645:H645"/>
    <mergeCell ref="B962:H962"/>
    <mergeCell ref="B963:H963"/>
    <mergeCell ref="A965:A966"/>
    <mergeCell ref="B965:B966"/>
    <mergeCell ref="C965:C966"/>
    <mergeCell ref="D965:D966"/>
    <mergeCell ref="E965:E966"/>
    <mergeCell ref="F965:F966"/>
    <mergeCell ref="G965:G966"/>
    <mergeCell ref="H965:I965"/>
    <mergeCell ref="H853:I853"/>
    <mergeCell ref="D851:G851"/>
    <mergeCell ref="H830:I830"/>
    <mergeCell ref="D840:G841"/>
    <mergeCell ref="A843:A844"/>
    <mergeCell ref="B843:B844"/>
    <mergeCell ref="C843:C844"/>
    <mergeCell ref="D843:D844"/>
    <mergeCell ref="E843:E844"/>
    <mergeCell ref="F843:F844"/>
  </mergeCells>
  <pageMargins left="0.78740157480314965" right="0.19685039370078741" top="0.39370078740157483" bottom="0.39370078740157483" header="0.51181102362204722" footer="0.51181102362204722"/>
  <pageSetup paperSize="9" scale="49" orientation="portrait" verticalDpi="300" r:id="rId1"/>
  <rowBreaks count="1" manualBreakCount="1">
    <brk id="26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113</TotalTime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Липень</vt:lpstr>
      <vt:lpstr>Липень!Print_Area_0</vt:lpstr>
      <vt:lpstr>Липень!Область_друку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victor08</dc:creator>
  <dc:description/>
  <cp:lastModifiedBy>Finuprav</cp:lastModifiedBy>
  <cp:revision>15</cp:revision>
  <cp:lastPrinted>2024-07-31T11:25:38Z</cp:lastPrinted>
  <dcterms:created xsi:type="dcterms:W3CDTF">2011-10-10T10:32:03Z</dcterms:created>
  <dcterms:modified xsi:type="dcterms:W3CDTF">2024-07-31T11:25:42Z</dcterms:modified>
  <dc:language>uk-UA</dc:language>
</cp:coreProperties>
</file>