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55 сесія\"/>
    </mc:Choice>
  </mc:AlternateContent>
  <bookViews>
    <workbookView xWindow="0" yWindow="0" windowWidth="21000" windowHeight="11850" tabRatio="500"/>
  </bookViews>
  <sheets>
    <sheet name="Липень" sheetId="1" r:id="rId1"/>
  </sheets>
  <definedNames>
    <definedName name="Print_Area_0" localSheetId="0">Липень!$A$1:$I$983</definedName>
    <definedName name="_xlnm.Print_Titles" localSheetId="0">Липень!$6:$7</definedName>
    <definedName name="_xlnm.Print_Area" localSheetId="0">Липень!$A$1:$I$983</definedName>
  </definedNames>
  <calcPr calcId="162913"/>
</workbook>
</file>

<file path=xl/calcChain.xml><?xml version="1.0" encoding="utf-8"?>
<calcChain xmlns="http://schemas.openxmlformats.org/spreadsheetml/2006/main">
  <c r="H88" i="1" l="1"/>
  <c r="H87" i="1"/>
  <c r="H188" i="1"/>
  <c r="H537" i="1"/>
  <c r="H517" i="1"/>
  <c r="H477" i="1"/>
  <c r="H453" i="1"/>
  <c r="H424" i="1"/>
  <c r="G424" i="1"/>
  <c r="H350" i="1"/>
  <c r="H346" i="1" s="1"/>
  <c r="I661" i="1"/>
  <c r="I669" i="1"/>
  <c r="I686" i="1"/>
  <c r="I692" i="1"/>
  <c r="I696" i="1"/>
  <c r="I701" i="1"/>
  <c r="I705" i="1"/>
  <c r="I709" i="1"/>
  <c r="I17" i="1"/>
  <c r="I28" i="1"/>
  <c r="I33" i="1"/>
  <c r="I35" i="1"/>
  <c r="I42" i="1"/>
  <c r="I47" i="1"/>
  <c r="I48" i="1"/>
  <c r="I49" i="1"/>
  <c r="I50" i="1"/>
  <c r="I53" i="1"/>
  <c r="I58" i="1"/>
  <c r="I59" i="1"/>
  <c r="I67" i="1"/>
  <c r="I69" i="1"/>
  <c r="I70" i="1"/>
  <c r="I85" i="1"/>
  <c r="I102" i="1"/>
  <c r="I106" i="1"/>
  <c r="I111" i="1"/>
  <c r="I116" i="1"/>
  <c r="I134" i="1"/>
  <c r="I138" i="1"/>
  <c r="I161" i="1"/>
  <c r="I165" i="1"/>
  <c r="I186" i="1"/>
  <c r="I206" i="1"/>
  <c r="I210" i="1"/>
  <c r="I218" i="1"/>
  <c r="I222" i="1"/>
  <c r="I249" i="1"/>
  <c r="I252" i="1"/>
  <c r="I256" i="1"/>
  <c r="I269" i="1"/>
  <c r="I273" i="1"/>
  <c r="I277" i="1"/>
  <c r="I281" i="1"/>
  <c r="I282" i="1"/>
  <c r="I293" i="1"/>
  <c r="I301" i="1"/>
  <c r="I304" i="1"/>
  <c r="I313" i="1"/>
  <c r="I314" i="1"/>
  <c r="I320" i="1"/>
  <c r="I330" i="1"/>
  <c r="I334" i="1"/>
  <c r="I337" i="1"/>
  <c r="I341" i="1"/>
  <c r="I345" i="1"/>
  <c r="I357" i="1"/>
  <c r="I361" i="1"/>
  <c r="I367" i="1"/>
  <c r="I376" i="1"/>
  <c r="I387" i="1"/>
  <c r="I394" i="1"/>
  <c r="I437" i="1"/>
  <c r="I452" i="1"/>
  <c r="I458" i="1"/>
  <c r="I490" i="1"/>
  <c r="I498" i="1"/>
  <c r="I501" i="1"/>
  <c r="I509" i="1"/>
  <c r="I596" i="1"/>
  <c r="I600" i="1"/>
  <c r="I606" i="1"/>
  <c r="I620" i="1"/>
  <c r="H622" i="1"/>
  <c r="H603" i="1"/>
  <c r="H593" i="1"/>
  <c r="H591" i="1"/>
  <c r="H575" i="1"/>
  <c r="H572" i="1"/>
  <c r="H569" i="1"/>
  <c r="H567" i="1"/>
  <c r="H566" i="1"/>
  <c r="H565" i="1"/>
  <c r="H564" i="1"/>
  <c r="H553" i="1"/>
  <c r="H548" i="1"/>
  <c r="H544" i="1"/>
  <c r="H482" i="1"/>
  <c r="H469" i="1"/>
  <c r="H468" i="1" s="1"/>
  <c r="H464" i="1"/>
  <c r="H445" i="1"/>
  <c r="H400" i="1"/>
  <c r="H260" i="1"/>
  <c r="H177" i="1"/>
  <c r="H173" i="1"/>
  <c r="H119" i="1"/>
  <c r="H118" i="1"/>
  <c r="H117" i="1" s="1"/>
  <c r="H180" i="1"/>
  <c r="H179" i="1" s="1"/>
  <c r="H654" i="1"/>
  <c r="H653" i="1" s="1"/>
  <c r="H720" i="1"/>
  <c r="H583" i="1"/>
  <c r="G549" i="1"/>
  <c r="I549" i="1"/>
  <c r="G556" i="1"/>
  <c r="I556" i="1"/>
  <c r="G552" i="1"/>
  <c r="G402" i="1"/>
  <c r="G546" i="1"/>
  <c r="G548" i="1"/>
  <c r="I548" i="1" s="1"/>
  <c r="G400" i="1"/>
  <c r="G478" i="1"/>
  <c r="G466" i="1"/>
  <c r="G465" i="1"/>
  <c r="G462" i="1"/>
  <c r="G444" i="1"/>
  <c r="I444" i="1" s="1"/>
  <c r="G443" i="1"/>
  <c r="I443" i="1" s="1"/>
  <c r="G442" i="1"/>
  <c r="I442" i="1" s="1"/>
  <c r="G441" i="1"/>
  <c r="I441" i="1" s="1"/>
  <c r="G264" i="1"/>
  <c r="G593" i="1"/>
  <c r="I593" i="1" s="1"/>
  <c r="G592" i="1"/>
  <c r="I592" i="1" s="1"/>
  <c r="G586" i="1"/>
  <c r="I586" i="1" s="1"/>
  <c r="G572" i="1"/>
  <c r="G568" i="1"/>
  <c r="I568" i="1" s="1"/>
  <c r="G401" i="1"/>
  <c r="G399" i="1"/>
  <c r="I399" i="1"/>
  <c r="G370" i="1"/>
  <c r="I370" i="1"/>
  <c r="G312" i="1"/>
  <c r="I312" i="1"/>
  <c r="G265" i="1"/>
  <c r="I265" i="1"/>
  <c r="G263" i="1"/>
  <c r="I263" i="1"/>
  <c r="G262" i="1"/>
  <c r="I262" i="1"/>
  <c r="G259" i="1"/>
  <c r="I259" i="1"/>
  <c r="G287" i="1"/>
  <c r="I287" i="1"/>
  <c r="G258" i="1"/>
  <c r="G189" i="1"/>
  <c r="I189" i="1" s="1"/>
  <c r="G177" i="1"/>
  <c r="I177" i="1" s="1"/>
  <c r="G173" i="1"/>
  <c r="G153" i="1"/>
  <c r="I153" i="1" s="1"/>
  <c r="G464" i="1"/>
  <c r="G544" i="1"/>
  <c r="G573" i="1"/>
  <c r="I573" i="1" s="1"/>
  <c r="F573" i="1"/>
  <c r="G565" i="1"/>
  <c r="I565" i="1"/>
  <c r="G553" i="1"/>
  <c r="I553" i="1"/>
  <c r="G567" i="1"/>
  <c r="I567" i="1"/>
  <c r="G605" i="1"/>
  <c r="G604" i="1"/>
  <c r="G469" i="1"/>
  <c r="I469" i="1"/>
  <c r="G512" i="1"/>
  <c r="I512" i="1"/>
  <c r="G484" i="1"/>
  <c r="I484" i="1"/>
  <c r="G482" i="1"/>
  <c r="I482" i="1"/>
  <c r="G351" i="1"/>
  <c r="G84" i="1"/>
  <c r="I84" i="1" s="1"/>
  <c r="I351" i="1"/>
  <c r="G350" i="1"/>
  <c r="G559" i="1"/>
  <c r="I559" i="1" s="1"/>
  <c r="G558" i="1"/>
  <c r="E609" i="1"/>
  <c r="F612" i="1"/>
  <c r="F611" i="1"/>
  <c r="F603" i="1"/>
  <c r="F593" i="1"/>
  <c r="F569" i="1"/>
  <c r="F568" i="1"/>
  <c r="F562" i="1"/>
  <c r="F561" i="1"/>
  <c r="F560" i="1"/>
  <c r="F559" i="1"/>
  <c r="F558" i="1"/>
  <c r="F556" i="1"/>
  <c r="F549" i="1"/>
  <c r="F515" i="1"/>
  <c r="F514" i="1"/>
  <c r="F403" i="1"/>
  <c r="F402" i="1"/>
  <c r="F401" i="1"/>
  <c r="F400" i="1"/>
  <c r="F370" i="1"/>
  <c r="F312" i="1"/>
  <c r="F311" i="1" s="1"/>
  <c r="F310" i="1" s="1"/>
  <c r="G311" i="1"/>
  <c r="E311" i="1"/>
  <c r="E310" i="1" s="1"/>
  <c r="H311" i="1"/>
  <c r="F307" i="1"/>
  <c r="G284" i="1"/>
  <c r="E284" i="1"/>
  <c r="F287" i="1"/>
  <c r="F286" i="1"/>
  <c r="F285" i="1"/>
  <c r="F284" i="1" s="1"/>
  <c r="F279" i="1"/>
  <c r="F265" i="1"/>
  <c r="F264" i="1"/>
  <c r="F263" i="1"/>
  <c r="F262" i="1"/>
  <c r="G310" i="1"/>
  <c r="H284" i="1"/>
  <c r="G445" i="1"/>
  <c r="I445" i="1" s="1"/>
  <c r="G569" i="1"/>
  <c r="I569" i="1" s="1"/>
  <c r="G89" i="1"/>
  <c r="I89" i="1" s="1"/>
  <c r="G540" i="1"/>
  <c r="G537" i="1" s="1"/>
  <c r="G551" i="1"/>
  <c r="H614" i="1"/>
  <c r="F615" i="1"/>
  <c r="F614" i="1"/>
  <c r="G614" i="1"/>
  <c r="E614" i="1"/>
  <c r="F605" i="1"/>
  <c r="F604" i="1"/>
  <c r="F588" i="1"/>
  <c r="F587" i="1"/>
  <c r="F574" i="1"/>
  <c r="F565" i="1"/>
  <c r="F564" i="1"/>
  <c r="F553" i="1"/>
  <c r="F551" i="1"/>
  <c r="F552" i="1"/>
  <c r="F546" i="1"/>
  <c r="F545" i="1"/>
  <c r="F544" i="1"/>
  <c r="F540" i="1"/>
  <c r="E511" i="1"/>
  <c r="F466" i="1"/>
  <c r="F465" i="1"/>
  <c r="F464" i="1"/>
  <c r="F425" i="1"/>
  <c r="F407" i="1"/>
  <c r="F406" i="1"/>
  <c r="F405" i="1"/>
  <c r="F404" i="1"/>
  <c r="F399" i="1"/>
  <c r="F261" i="1"/>
  <c r="F258" i="1"/>
  <c r="F177" i="1"/>
  <c r="F173" i="1"/>
  <c r="G610" i="1"/>
  <c r="I610" i="1"/>
  <c r="G539" i="1"/>
  <c r="I539" i="1"/>
  <c r="G513" i="1"/>
  <c r="G181" i="1"/>
  <c r="I181" i="1" s="1"/>
  <c r="G119" i="1"/>
  <c r="G511" i="1"/>
  <c r="I513" i="1"/>
  <c r="G609" i="1"/>
  <c r="G608" i="1"/>
  <c r="G566" i="1"/>
  <c r="I566" i="1"/>
  <c r="G560" i="1"/>
  <c r="E537" i="1"/>
  <c r="G603" i="1"/>
  <c r="G591" i="1"/>
  <c r="G589" i="1"/>
  <c r="I589" i="1" s="1"/>
  <c r="G585" i="1"/>
  <c r="I585" i="1" s="1"/>
  <c r="G575" i="1"/>
  <c r="I575" i="1" s="1"/>
  <c r="G571" i="1"/>
  <c r="I571" i="1" s="1"/>
  <c r="G570" i="1"/>
  <c r="I570" i="1" s="1"/>
  <c r="G564" i="1"/>
  <c r="I564" i="1" s="1"/>
  <c r="G557" i="1"/>
  <c r="I557" i="1" s="1"/>
  <c r="G555" i="1"/>
  <c r="I555" i="1" s="1"/>
  <c r="G554" i="1"/>
  <c r="I554" i="1" s="1"/>
  <c r="G463" i="1"/>
  <c r="I463" i="1" s="1"/>
  <c r="G398" i="1"/>
  <c r="G308" i="1"/>
  <c r="I308" i="1" s="1"/>
  <c r="G461" i="1"/>
  <c r="F548" i="1"/>
  <c r="G584" i="1"/>
  <c r="G583" i="1" s="1"/>
  <c r="F584" i="1"/>
  <c r="G720" i="1"/>
  <c r="F720" i="1"/>
  <c r="F719" i="1" s="1"/>
  <c r="F718" i="1"/>
  <c r="F717" i="1" s="1"/>
  <c r="H719" i="1"/>
  <c r="H718" i="1" s="1"/>
  <c r="H717" i="1" s="1"/>
  <c r="G654" i="1"/>
  <c r="I654" i="1"/>
  <c r="F654" i="1"/>
  <c r="F610" i="1"/>
  <c r="F609" i="1" s="1"/>
  <c r="F591" i="1"/>
  <c r="F590" i="1"/>
  <c r="F543" i="1"/>
  <c r="F482" i="1"/>
  <c r="F153" i="1"/>
  <c r="F119" i="1"/>
  <c r="F89" i="1"/>
  <c r="G719" i="1"/>
  <c r="G718" i="1" s="1"/>
  <c r="I720" i="1"/>
  <c r="I719" i="1"/>
  <c r="F608" i="1"/>
  <c r="I718" i="1"/>
  <c r="G622" i="1"/>
  <c r="I622" i="1"/>
  <c r="G457" i="1"/>
  <c r="I457" i="1"/>
  <c r="G456" i="1"/>
  <c r="I456" i="1"/>
  <c r="G455" i="1"/>
  <c r="I455" i="1"/>
  <c r="G454" i="1"/>
  <c r="I454" i="1"/>
  <c r="G260" i="1"/>
  <c r="I260" i="1"/>
  <c r="J396" i="1"/>
  <c r="E517" i="1"/>
  <c r="G542" i="1"/>
  <c r="E542" i="1"/>
  <c r="E461" i="1"/>
  <c r="F575" i="1"/>
  <c r="F572" i="1"/>
  <c r="F567" i="1"/>
  <c r="F566" i="1"/>
  <c r="F547" i="1"/>
  <c r="F539" i="1"/>
  <c r="F538" i="1"/>
  <c r="F518" i="1"/>
  <c r="F513" i="1"/>
  <c r="F512" i="1"/>
  <c r="F484" i="1"/>
  <c r="F483" i="1"/>
  <c r="G481" i="1"/>
  <c r="E481" i="1"/>
  <c r="F469" i="1"/>
  <c r="H472" i="1"/>
  <c r="I472" i="1"/>
  <c r="H471" i="1"/>
  <c r="I471" i="1"/>
  <c r="H470" i="1"/>
  <c r="I470" i="1"/>
  <c r="G468" i="1"/>
  <c r="E468" i="1"/>
  <c r="F463" i="1"/>
  <c r="F462" i="1"/>
  <c r="F445" i="1"/>
  <c r="F398" i="1"/>
  <c r="F296" i="1"/>
  <c r="F260" i="1"/>
  <c r="G440" i="1"/>
  <c r="I440" i="1"/>
  <c r="G439" i="1"/>
  <c r="I439" i="1"/>
  <c r="G403" i="1"/>
  <c r="E351" i="1"/>
  <c r="F351" i="1"/>
  <c r="J956" i="1"/>
  <c r="J959" i="1"/>
  <c r="E653" i="1"/>
  <c r="E652" i="1" s="1"/>
  <c r="E651" i="1"/>
  <c r="F653" i="1"/>
  <c r="F652" i="1"/>
  <c r="G653" i="1"/>
  <c r="G652" i="1"/>
  <c r="E658" i="1"/>
  <c r="E657" i="1" s="1"/>
  <c r="F658" i="1"/>
  <c r="F657" i="1" s="1"/>
  <c r="G658" i="1"/>
  <c r="G657" i="1" s="1"/>
  <c r="H659" i="1"/>
  <c r="H660" i="1"/>
  <c r="I660" i="1" s="1"/>
  <c r="E664" i="1"/>
  <c r="F664" i="1"/>
  <c r="G664" i="1"/>
  <c r="H665" i="1"/>
  <c r="E666" i="1"/>
  <c r="F666" i="1"/>
  <c r="G666" i="1"/>
  <c r="H667" i="1"/>
  <c r="I667" i="1"/>
  <c r="H668" i="1"/>
  <c r="I668" i="1"/>
  <c r="E670" i="1"/>
  <c r="F670" i="1"/>
  <c r="G670" i="1"/>
  <c r="F671" i="1"/>
  <c r="G671" i="1"/>
  <c r="H672" i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E687" i="1"/>
  <c r="F688" i="1"/>
  <c r="F687" i="1"/>
  <c r="G688" i="1"/>
  <c r="G687" i="1"/>
  <c r="H689" i="1"/>
  <c r="I689" i="1"/>
  <c r="H690" i="1"/>
  <c r="I690" i="1"/>
  <c r="H691" i="1"/>
  <c r="I691" i="1"/>
  <c r="E693" i="1"/>
  <c r="F694" i="1"/>
  <c r="F693" i="1" s="1"/>
  <c r="G694" i="1"/>
  <c r="G693" i="1"/>
  <c r="I693" i="1" s="1"/>
  <c r="H695" i="1"/>
  <c r="F698" i="1"/>
  <c r="G698" i="1"/>
  <c r="H699" i="1"/>
  <c r="H700" i="1"/>
  <c r="I700" i="1" s="1"/>
  <c r="F702" i="1"/>
  <c r="G702" i="1"/>
  <c r="H703" i="1"/>
  <c r="I703" i="1" s="1"/>
  <c r="H704" i="1"/>
  <c r="I704" i="1" s="1"/>
  <c r="F707" i="1"/>
  <c r="F706" i="1" s="1"/>
  <c r="G707" i="1"/>
  <c r="G706" i="1" s="1"/>
  <c r="H708" i="1"/>
  <c r="E710" i="1"/>
  <c r="E707" i="1"/>
  <c r="E706" i="1" s="1"/>
  <c r="E702" i="1" s="1"/>
  <c r="F711" i="1"/>
  <c r="F710" i="1" s="1"/>
  <c r="G711" i="1"/>
  <c r="H712" i="1"/>
  <c r="H711" i="1" s="1"/>
  <c r="H713" i="1"/>
  <c r="I713" i="1"/>
  <c r="F714" i="1"/>
  <c r="G714" i="1"/>
  <c r="G710" i="1" s="1"/>
  <c r="H715" i="1"/>
  <c r="H716" i="1"/>
  <c r="I716" i="1" s="1"/>
  <c r="E718" i="1"/>
  <c r="E717" i="1" s="1"/>
  <c r="G717" i="1"/>
  <c r="I717" i="1" s="1"/>
  <c r="F731" i="1"/>
  <c r="F730" i="1" s="1"/>
  <c r="G731" i="1"/>
  <c r="G730" i="1" s="1"/>
  <c r="H732" i="1"/>
  <c r="H731" i="1" s="1"/>
  <c r="H730" i="1"/>
  <c r="I732" i="1"/>
  <c r="I731" i="1"/>
  <c r="I730" i="1" s="1"/>
  <c r="E735" i="1"/>
  <c r="E734" i="1" s="1"/>
  <c r="F735" i="1"/>
  <c r="G735" i="1"/>
  <c r="H736" i="1"/>
  <c r="I736" i="1"/>
  <c r="E739" i="1"/>
  <c r="E738" i="1" s="1"/>
  <c r="F739" i="1"/>
  <c r="F738" i="1" s="1"/>
  <c r="G739" i="1"/>
  <c r="H740" i="1"/>
  <c r="I740" i="1"/>
  <c r="F743" i="1"/>
  <c r="G743" i="1"/>
  <c r="G742" i="1" s="1"/>
  <c r="H744" i="1"/>
  <c r="H743" i="1"/>
  <c r="H742" i="1" s="1"/>
  <c r="I744" i="1"/>
  <c r="I743" i="1"/>
  <c r="E746" i="1"/>
  <c r="E743" i="1"/>
  <c r="E742" i="1" s="1"/>
  <c r="F746" i="1"/>
  <c r="F742" i="1" s="1"/>
  <c r="G746" i="1"/>
  <c r="H747" i="1"/>
  <c r="H746" i="1" s="1"/>
  <c r="I747" i="1"/>
  <c r="I746" i="1" s="1"/>
  <c r="E750" i="1"/>
  <c r="E749" i="1" s="1"/>
  <c r="F750" i="1"/>
  <c r="G750" i="1"/>
  <c r="H751" i="1"/>
  <c r="H750" i="1"/>
  <c r="I751" i="1"/>
  <c r="I750" i="1"/>
  <c r="E752" i="1"/>
  <c r="F752" i="1"/>
  <c r="G752" i="1"/>
  <c r="H753" i="1"/>
  <c r="I753" i="1"/>
  <c r="H754" i="1"/>
  <c r="I754" i="1"/>
  <c r="F758" i="1"/>
  <c r="G758" i="1"/>
  <c r="H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F779" i="1"/>
  <c r="G779" i="1"/>
  <c r="H780" i="1"/>
  <c r="H779" i="1" s="1"/>
  <c r="I780" i="1"/>
  <c r="H781" i="1"/>
  <c r="I781" i="1"/>
  <c r="F783" i="1"/>
  <c r="G783" i="1"/>
  <c r="H784" i="1"/>
  <c r="H783" i="1" s="1"/>
  <c r="I784" i="1"/>
  <c r="H785" i="1"/>
  <c r="I785" i="1"/>
  <c r="E787" i="1"/>
  <c r="F788" i="1"/>
  <c r="F787" i="1"/>
  <c r="G788" i="1"/>
  <c r="G787" i="1"/>
  <c r="H789" i="1"/>
  <c r="H788" i="1"/>
  <c r="H787" i="1" s="1"/>
  <c r="I789" i="1"/>
  <c r="I788" i="1" s="1"/>
  <c r="I787" i="1" s="1"/>
  <c r="E791" i="1"/>
  <c r="F792" i="1"/>
  <c r="F791" i="1" s="1"/>
  <c r="G792" i="1"/>
  <c r="G791" i="1" s="1"/>
  <c r="H793" i="1"/>
  <c r="I793" i="1"/>
  <c r="H794" i="1"/>
  <c r="I794" i="1"/>
  <c r="F797" i="1"/>
  <c r="F796" i="1" s="1"/>
  <c r="G797" i="1"/>
  <c r="G796" i="1" s="1"/>
  <c r="H798" i="1"/>
  <c r="I798" i="1"/>
  <c r="H799" i="1"/>
  <c r="I799" i="1"/>
  <c r="H800" i="1"/>
  <c r="I800" i="1"/>
  <c r="H801" i="1"/>
  <c r="I801" i="1"/>
  <c r="H802" i="1"/>
  <c r="I802" i="1"/>
  <c r="F811" i="1"/>
  <c r="F810" i="1" s="1"/>
  <c r="F809" i="1"/>
  <c r="F814" i="1" s="1"/>
  <c r="G811" i="1"/>
  <c r="G810" i="1" s="1"/>
  <c r="G809" i="1"/>
  <c r="G814" i="1" s="1"/>
  <c r="H812" i="1"/>
  <c r="H811" i="1" s="1"/>
  <c r="H810" i="1"/>
  <c r="H809" i="1" s="1"/>
  <c r="H814" i="1" s="1"/>
  <c r="I812" i="1"/>
  <c r="I811" i="1"/>
  <c r="I810" i="1" s="1"/>
  <c r="I809" i="1"/>
  <c r="I814" i="1" s="1"/>
  <c r="E814" i="1"/>
  <c r="E822" i="1"/>
  <c r="E821" i="1"/>
  <c r="F822" i="1"/>
  <c r="F821" i="1"/>
  <c r="F820" i="1" s="1"/>
  <c r="F825" i="1"/>
  <c r="G822" i="1"/>
  <c r="G821" i="1"/>
  <c r="G820" i="1" s="1"/>
  <c r="G825" i="1" s="1"/>
  <c r="H823" i="1"/>
  <c r="H822" i="1"/>
  <c r="H821" i="1" s="1"/>
  <c r="H820" i="1"/>
  <c r="H825" i="1" s="1"/>
  <c r="I823" i="1"/>
  <c r="I822" i="1" s="1"/>
  <c r="I821" i="1"/>
  <c r="I820" i="1" s="1"/>
  <c r="I825" i="1" s="1"/>
  <c r="F835" i="1"/>
  <c r="I835" i="1"/>
  <c r="I834" i="1" s="1"/>
  <c r="I833" i="1"/>
  <c r="I832" i="1" s="1"/>
  <c r="I837" i="1" s="1"/>
  <c r="G835" i="1"/>
  <c r="G834" i="1"/>
  <c r="G833" i="1" s="1"/>
  <c r="G832" i="1"/>
  <c r="G837" i="1" s="1"/>
  <c r="E837" i="1"/>
  <c r="F848" i="1"/>
  <c r="F847" i="1"/>
  <c r="F846" i="1" s="1"/>
  <c r="F845" i="1"/>
  <c r="F850" i="1" s="1"/>
  <c r="G848" i="1"/>
  <c r="H848" i="1" s="1"/>
  <c r="H847" i="1"/>
  <c r="H846" i="1" s="1"/>
  <c r="H845" i="1" s="1"/>
  <c r="H850" i="1" s="1"/>
  <c r="E850" i="1"/>
  <c r="F857" i="1"/>
  <c r="G857" i="1"/>
  <c r="H858" i="1"/>
  <c r="H857" i="1"/>
  <c r="I858" i="1"/>
  <c r="I857" i="1"/>
  <c r="F860" i="1"/>
  <c r="G860" i="1"/>
  <c r="H861" i="1"/>
  <c r="I861" i="1"/>
  <c r="I860" i="1" s="1"/>
  <c r="H862" i="1"/>
  <c r="I862" i="1"/>
  <c r="H863" i="1"/>
  <c r="I863" i="1"/>
  <c r="E864" i="1"/>
  <c r="F865" i="1"/>
  <c r="G865" i="1"/>
  <c r="H866" i="1"/>
  <c r="I866" i="1"/>
  <c r="H867" i="1"/>
  <c r="I867" i="1"/>
  <c r="H868" i="1"/>
  <c r="I868" i="1"/>
  <c r="H869" i="1"/>
  <c r="I869" i="1"/>
  <c r="F870" i="1"/>
  <c r="G870" i="1"/>
  <c r="H871" i="1"/>
  <c r="H870" i="1" s="1"/>
  <c r="I871" i="1"/>
  <c r="I870" i="1" s="1"/>
  <c r="F874" i="1"/>
  <c r="F873" i="1" s="1"/>
  <c r="G874" i="1"/>
  <c r="G873" i="1" s="1"/>
  <c r="H875" i="1"/>
  <c r="H874" i="1" s="1"/>
  <c r="H873" i="1" s="1"/>
  <c r="I875" i="1"/>
  <c r="I874" i="1"/>
  <c r="I873" i="1" s="1"/>
  <c r="E877" i="1"/>
  <c r="F878" i="1"/>
  <c r="F877" i="1"/>
  <c r="G878" i="1"/>
  <c r="G877" i="1"/>
  <c r="H879" i="1"/>
  <c r="I879" i="1"/>
  <c r="I878" i="1" s="1"/>
  <c r="I877" i="1" s="1"/>
  <c r="H880" i="1"/>
  <c r="I880" i="1"/>
  <c r="F883" i="1"/>
  <c r="F882" i="1"/>
  <c r="G883" i="1"/>
  <c r="G882" i="1"/>
  <c r="H884" i="1"/>
  <c r="H883" i="1"/>
  <c r="H882" i="1" s="1"/>
  <c r="I884" i="1"/>
  <c r="I883" i="1" s="1"/>
  <c r="I882" i="1"/>
  <c r="E887" i="1"/>
  <c r="E886" i="1"/>
  <c r="F887" i="1"/>
  <c r="F886" i="1"/>
  <c r="G887" i="1"/>
  <c r="G886" i="1"/>
  <c r="H888" i="1"/>
  <c r="H887" i="1"/>
  <c r="H886" i="1" s="1"/>
  <c r="I888" i="1"/>
  <c r="I887" i="1" s="1"/>
  <c r="I886" i="1"/>
  <c r="F892" i="1"/>
  <c r="F891" i="1"/>
  <c r="G892" i="1"/>
  <c r="G891" i="1"/>
  <c r="H893" i="1"/>
  <c r="H892" i="1"/>
  <c r="H891" i="1" s="1"/>
  <c r="H890" i="1" s="1"/>
  <c r="I893" i="1"/>
  <c r="I892" i="1" s="1"/>
  <c r="I891" i="1"/>
  <c r="F897" i="1"/>
  <c r="F896" i="1"/>
  <c r="G897" i="1"/>
  <c r="G896" i="1"/>
  <c r="H898" i="1"/>
  <c r="I898" i="1"/>
  <c r="H899" i="1"/>
  <c r="I899" i="1"/>
  <c r="H903" i="1"/>
  <c r="I903" i="1"/>
  <c r="I902" i="1" s="1"/>
  <c r="H904" i="1"/>
  <c r="I904" i="1"/>
  <c r="F906" i="1"/>
  <c r="F902" i="1"/>
  <c r="F901" i="1" s="1"/>
  <c r="G906" i="1"/>
  <c r="G902" i="1" s="1"/>
  <c r="G901" i="1"/>
  <c r="H907" i="1"/>
  <c r="I907" i="1"/>
  <c r="H908" i="1"/>
  <c r="I908" i="1"/>
  <c r="H909" i="1"/>
  <c r="I909" i="1"/>
  <c r="H910" i="1"/>
  <c r="I910" i="1"/>
  <c r="H911" i="1"/>
  <c r="I911" i="1"/>
  <c r="H912" i="1"/>
  <c r="I912" i="1"/>
  <c r="F915" i="1"/>
  <c r="F914" i="1"/>
  <c r="F913" i="1" s="1"/>
  <c r="G915" i="1"/>
  <c r="G914" i="1"/>
  <c r="G913" i="1" s="1"/>
  <c r="H916" i="1"/>
  <c r="H915" i="1"/>
  <c r="H914" i="1" s="1"/>
  <c r="H913" i="1" s="1"/>
  <c r="I916" i="1"/>
  <c r="I915" i="1" s="1"/>
  <c r="I914" i="1"/>
  <c r="I913" i="1" s="1"/>
  <c r="F919" i="1"/>
  <c r="G919" i="1"/>
  <c r="H920" i="1"/>
  <c r="H919" i="1"/>
  <c r="I920" i="1"/>
  <c r="I919" i="1"/>
  <c r="F922" i="1"/>
  <c r="G922" i="1"/>
  <c r="G918" i="1" s="1"/>
  <c r="H923" i="1"/>
  <c r="I923" i="1"/>
  <c r="H924" i="1"/>
  <c r="I924" i="1"/>
  <c r="E926" i="1"/>
  <c r="E925" i="1"/>
  <c r="E913" i="1" s="1"/>
  <c r="E949" i="1" s="1"/>
  <c r="F926" i="1"/>
  <c r="F925" i="1"/>
  <c r="G926" i="1"/>
  <c r="G925" i="1"/>
  <c r="H927" i="1"/>
  <c r="H926" i="1"/>
  <c r="H925" i="1" s="1"/>
  <c r="I927" i="1"/>
  <c r="I926" i="1" s="1"/>
  <c r="I925" i="1" s="1"/>
  <c r="F931" i="1"/>
  <c r="F930" i="1"/>
  <c r="G931" i="1"/>
  <c r="G930" i="1"/>
  <c r="H932" i="1"/>
  <c r="H931" i="1"/>
  <c r="H930" i="1" s="1"/>
  <c r="I932" i="1"/>
  <c r="I931" i="1" s="1"/>
  <c r="I930" i="1" s="1"/>
  <c r="F935" i="1"/>
  <c r="F934" i="1"/>
  <c r="G935" i="1"/>
  <c r="G934" i="1"/>
  <c r="H935" i="1"/>
  <c r="H934" i="1"/>
  <c r="I935" i="1"/>
  <c r="I934" i="1"/>
  <c r="F942" i="1"/>
  <c r="F941" i="1"/>
  <c r="G942" i="1"/>
  <c r="G941" i="1"/>
  <c r="H942" i="1"/>
  <c r="H941" i="1"/>
  <c r="I942" i="1"/>
  <c r="I941" i="1"/>
  <c r="F947" i="1"/>
  <c r="F946" i="1"/>
  <c r="G947" i="1"/>
  <c r="G946" i="1"/>
  <c r="H948" i="1"/>
  <c r="H947" i="1"/>
  <c r="H946" i="1" s="1"/>
  <c r="I948" i="1"/>
  <c r="I947" i="1" s="1"/>
  <c r="I946" i="1" s="1"/>
  <c r="E956" i="1"/>
  <c r="E955" i="1"/>
  <c r="F957" i="1"/>
  <c r="F956" i="1"/>
  <c r="F955" i="1" s="1"/>
  <c r="F959" i="1"/>
  <c r="G957" i="1"/>
  <c r="G956" i="1"/>
  <c r="G955" i="1" s="1"/>
  <c r="G959" i="1" s="1"/>
  <c r="H958" i="1"/>
  <c r="H957" i="1"/>
  <c r="H956" i="1" s="1"/>
  <c r="H955" i="1"/>
  <c r="H959" i="1" s="1"/>
  <c r="I958" i="1"/>
  <c r="I957" i="1" s="1"/>
  <c r="I956" i="1"/>
  <c r="I955" i="1" s="1"/>
  <c r="I959" i="1" s="1"/>
  <c r="G306" i="1"/>
  <c r="E453" i="1"/>
  <c r="F453" i="1"/>
  <c r="F622" i="1"/>
  <c r="E622" i="1"/>
  <c r="E583" i="1"/>
  <c r="E510" i="1"/>
  <c r="E477" i="1"/>
  <c r="E438" i="1"/>
  <c r="E400" i="1"/>
  <c r="E397" i="1" s="1"/>
  <c r="F308" i="1"/>
  <c r="F306" i="1" s="1"/>
  <c r="E308" i="1"/>
  <c r="E307" i="1"/>
  <c r="E306" i="1" s="1"/>
  <c r="E296" i="1"/>
  <c r="F259" i="1"/>
  <c r="F257" i="1" s="1"/>
  <c r="E259" i="1"/>
  <c r="E257" i="1" s="1"/>
  <c r="F267" i="1"/>
  <c r="G267" i="1"/>
  <c r="H268" i="1"/>
  <c r="I268" i="1" s="1"/>
  <c r="F189" i="1"/>
  <c r="E189" i="1"/>
  <c r="F181" i="1"/>
  <c r="E181" i="1"/>
  <c r="E177" i="1"/>
  <c r="E153" i="1"/>
  <c r="F84" i="1"/>
  <c r="E84" i="1"/>
  <c r="H714" i="1"/>
  <c r="I715" i="1"/>
  <c r="H694" i="1"/>
  <c r="I695" i="1"/>
  <c r="H664" i="1"/>
  <c r="I665" i="1"/>
  <c r="I403" i="1"/>
  <c r="I712" i="1"/>
  <c r="H652" i="1"/>
  <c r="I653" i="1"/>
  <c r="F511" i="1"/>
  <c r="F461" i="1"/>
  <c r="F537" i="1"/>
  <c r="F542" i="1"/>
  <c r="I779" i="1"/>
  <c r="F481" i="1"/>
  <c r="F480" i="1" s="1"/>
  <c r="F468" i="1"/>
  <c r="H752" i="1"/>
  <c r="G847" i="1"/>
  <c r="G846" i="1" s="1"/>
  <c r="G845" i="1" s="1"/>
  <c r="G850" i="1" s="1"/>
  <c r="F834" i="1"/>
  <c r="F833" i="1"/>
  <c r="F832" i="1" s="1"/>
  <c r="F837" i="1" s="1"/>
  <c r="I783" i="1"/>
  <c r="H897" i="1"/>
  <c r="H896" i="1"/>
  <c r="I865" i="1"/>
  <c r="I864" i="1"/>
  <c r="H922" i="1"/>
  <c r="H918" i="1" s="1"/>
  <c r="H878" i="1"/>
  <c r="H877" i="1" s="1"/>
  <c r="F918" i="1"/>
  <c r="H688" i="1"/>
  <c r="F663" i="1"/>
  <c r="G757" i="1"/>
  <c r="G756" i="1" s="1"/>
  <c r="G748" i="1"/>
  <c r="H860" i="1"/>
  <c r="I792" i="1"/>
  <c r="I791" i="1" s="1"/>
  <c r="H792" i="1"/>
  <c r="H791" i="1" s="1"/>
  <c r="I739" i="1"/>
  <c r="H797" i="1"/>
  <c r="H796" i="1" s="1"/>
  <c r="I752" i="1"/>
  <c r="I758" i="1"/>
  <c r="H739" i="1"/>
  <c r="I922" i="1"/>
  <c r="I918" i="1" s="1"/>
  <c r="F856" i="1"/>
  <c r="I797" i="1"/>
  <c r="I796" i="1"/>
  <c r="H666" i="1"/>
  <c r="I666" i="1" s="1"/>
  <c r="G749" i="1"/>
  <c r="H702" i="1"/>
  <c r="I702" i="1" s="1"/>
  <c r="H906" i="1"/>
  <c r="H902" i="1"/>
  <c r="H901" i="1" s="1"/>
  <c r="F749" i="1"/>
  <c r="I906" i="1"/>
  <c r="G738" i="1"/>
  <c r="H738" i="1" s="1"/>
  <c r="F929" i="1"/>
  <c r="G864" i="1"/>
  <c r="F757" i="1"/>
  <c r="F756" i="1" s="1"/>
  <c r="F748" i="1" s="1"/>
  <c r="G697" i="1"/>
  <c r="F697" i="1"/>
  <c r="F890" i="1"/>
  <c r="I738" i="1"/>
  <c r="I929" i="1"/>
  <c r="I848" i="1"/>
  <c r="I847" i="1" s="1"/>
  <c r="I846" i="1"/>
  <c r="I845" i="1" s="1"/>
  <c r="I850" i="1" s="1"/>
  <c r="H835" i="1"/>
  <c r="H834" i="1"/>
  <c r="H833" i="1" s="1"/>
  <c r="H832" i="1"/>
  <c r="H837" i="1" s="1"/>
  <c r="E536" i="1"/>
  <c r="H267" i="1"/>
  <c r="I267" i="1"/>
  <c r="H651" i="1"/>
  <c r="H687" i="1"/>
  <c r="I688" i="1"/>
  <c r="H663" i="1"/>
  <c r="H693" i="1"/>
  <c r="I694" i="1"/>
  <c r="I757" i="1"/>
  <c r="I756" i="1" s="1"/>
  <c r="I748" i="1"/>
  <c r="G662" i="1"/>
  <c r="F176" i="1"/>
  <c r="H436" i="1"/>
  <c r="G176" i="1"/>
  <c r="G175" i="1" s="1"/>
  <c r="H227" i="1"/>
  <c r="I227" i="1"/>
  <c r="H225" i="1"/>
  <c r="I225" i="1"/>
  <c r="H619" i="1"/>
  <c r="G618" i="1"/>
  <c r="G617" i="1" s="1"/>
  <c r="I617" i="1" s="1"/>
  <c r="F618" i="1"/>
  <c r="E618" i="1"/>
  <c r="H618" i="1"/>
  <c r="I619" i="1"/>
  <c r="H435" i="1"/>
  <c r="I436" i="1"/>
  <c r="I1188" i="1"/>
  <c r="I1182" i="1"/>
  <c r="I1179" i="1"/>
  <c r="I1157" i="1"/>
  <c r="I1143" i="1"/>
  <c r="I1107" i="1"/>
  <c r="I1072" i="1"/>
  <c r="I1071" i="1"/>
  <c r="I1067" i="1"/>
  <c r="I1055" i="1"/>
  <c r="I1031" i="1"/>
  <c r="I998" i="1"/>
  <c r="E981" i="1"/>
  <c r="I980" i="1"/>
  <c r="H980" i="1"/>
  <c r="G979" i="1"/>
  <c r="H979" i="1" s="1"/>
  <c r="F979" i="1"/>
  <c r="I979" i="1" s="1"/>
  <c r="G978" i="1"/>
  <c r="H978" i="1" s="1"/>
  <c r="F978" i="1"/>
  <c r="I978" i="1" s="1"/>
  <c r="G977" i="1"/>
  <c r="H977" i="1" s="1"/>
  <c r="F977" i="1"/>
  <c r="I977" i="1" s="1"/>
  <c r="G972" i="1"/>
  <c r="H972" i="1" s="1"/>
  <c r="H971" i="1" s="1"/>
  <c r="H968" i="1" s="1"/>
  <c r="H967" i="1" s="1"/>
  <c r="F972" i="1"/>
  <c r="I970" i="1"/>
  <c r="I969" i="1" s="1"/>
  <c r="H970" i="1"/>
  <c r="H969" i="1" s="1"/>
  <c r="G969" i="1"/>
  <c r="F969" i="1"/>
  <c r="H636" i="1"/>
  <c r="H635" i="1"/>
  <c r="G634" i="1"/>
  <c r="F634" i="1"/>
  <c r="H633" i="1"/>
  <c r="H632" i="1"/>
  <c r="G631" i="1"/>
  <c r="F631" i="1"/>
  <c r="G630" i="1"/>
  <c r="H630" i="1" s="1"/>
  <c r="H629" i="1"/>
  <c r="F630" i="1"/>
  <c r="H628" i="1"/>
  <c r="H627" i="1" s="1"/>
  <c r="E627" i="1"/>
  <c r="H626" i="1"/>
  <c r="H625" i="1" s="1"/>
  <c r="E625" i="1"/>
  <c r="H621" i="1"/>
  <c r="H617" i="1"/>
  <c r="G621" i="1"/>
  <c r="F621" i="1"/>
  <c r="E621" i="1"/>
  <c r="E617" i="1"/>
  <c r="E608" i="1"/>
  <c r="F602" i="1"/>
  <c r="F601" i="1" s="1"/>
  <c r="E602" i="1"/>
  <c r="E601" i="1" s="1"/>
  <c r="H599" i="1"/>
  <c r="G598" i="1"/>
  <c r="G597" i="1"/>
  <c r="F598" i="1"/>
  <c r="F597" i="1"/>
  <c r="E598" i="1"/>
  <c r="E597" i="1"/>
  <c r="H595" i="1"/>
  <c r="I595" i="1"/>
  <c r="H581" i="1"/>
  <c r="I581" i="1"/>
  <c r="H580" i="1"/>
  <c r="I580" i="1"/>
  <c r="H579" i="1"/>
  <c r="I579" i="1"/>
  <c r="H578" i="1"/>
  <c r="I578" i="1"/>
  <c r="H577" i="1"/>
  <c r="I577" i="1"/>
  <c r="H576" i="1"/>
  <c r="I576" i="1"/>
  <c r="H534" i="1"/>
  <c r="H533" i="1"/>
  <c r="G532" i="1"/>
  <c r="F532" i="1"/>
  <c r="E532" i="1"/>
  <c r="E531" i="1"/>
  <c r="H530" i="1"/>
  <c r="H529" i="1"/>
  <c r="H528" i="1"/>
  <c r="H527" i="1"/>
  <c r="G526" i="1"/>
  <c r="F526" i="1"/>
  <c r="E526" i="1"/>
  <c r="H524" i="1"/>
  <c r="H523" i="1" s="1"/>
  <c r="G523" i="1"/>
  <c r="G522" i="1" s="1"/>
  <c r="F523" i="1"/>
  <c r="E523" i="1"/>
  <c r="E522" i="1" s="1"/>
  <c r="H520" i="1"/>
  <c r="H519" i="1"/>
  <c r="G517" i="1"/>
  <c r="F517" i="1"/>
  <c r="H508" i="1"/>
  <c r="G507" i="1"/>
  <c r="G506" i="1"/>
  <c r="F507" i="1"/>
  <c r="F506" i="1"/>
  <c r="H505" i="1"/>
  <c r="I505" i="1"/>
  <c r="H504" i="1"/>
  <c r="I504" i="1"/>
  <c r="G503" i="1"/>
  <c r="F503" i="1"/>
  <c r="E503" i="1"/>
  <c r="E502" i="1"/>
  <c r="G500" i="1"/>
  <c r="H500" i="1"/>
  <c r="F500" i="1"/>
  <c r="H497" i="1"/>
  <c r="I497" i="1" s="1"/>
  <c r="H496" i="1"/>
  <c r="I496" i="1" s="1"/>
  <c r="G495" i="1"/>
  <c r="F495" i="1"/>
  <c r="H493" i="1"/>
  <c r="I493" i="1" s="1"/>
  <c r="H492" i="1"/>
  <c r="I492" i="1" s="1"/>
  <c r="H489" i="1"/>
  <c r="I489" i="1"/>
  <c r="H488" i="1"/>
  <c r="I488" i="1"/>
  <c r="G487" i="1"/>
  <c r="F487" i="1"/>
  <c r="E486" i="1"/>
  <c r="G480" i="1"/>
  <c r="E480" i="1"/>
  <c r="H474" i="1"/>
  <c r="I474" i="1"/>
  <c r="H473" i="1"/>
  <c r="I473" i="1"/>
  <c r="H459" i="1"/>
  <c r="I459" i="1"/>
  <c r="H451" i="1"/>
  <c r="I451" i="1"/>
  <c r="H450" i="1"/>
  <c r="I450" i="1"/>
  <c r="H449" i="1"/>
  <c r="I449" i="1"/>
  <c r="H448" i="1"/>
  <c r="I448" i="1"/>
  <c r="G447" i="1"/>
  <c r="F447" i="1"/>
  <c r="E447" i="1"/>
  <c r="G435" i="1"/>
  <c r="I435" i="1" s="1"/>
  <c r="F435" i="1"/>
  <c r="E435" i="1"/>
  <c r="H434" i="1"/>
  <c r="I434" i="1"/>
  <c r="H433" i="1"/>
  <c r="I433" i="1"/>
  <c r="H432" i="1"/>
  <c r="I432" i="1"/>
  <c r="F431" i="1"/>
  <c r="E431" i="1"/>
  <c r="H429" i="1"/>
  <c r="H428" i="1"/>
  <c r="H427" i="1"/>
  <c r="H426" i="1"/>
  <c r="F424" i="1"/>
  <c r="E424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F397" i="1"/>
  <c r="H393" i="1"/>
  <c r="G392" i="1"/>
  <c r="F392" i="1"/>
  <c r="E392" i="1"/>
  <c r="H391" i="1"/>
  <c r="H390" i="1" s="1"/>
  <c r="G390" i="1"/>
  <c r="F390" i="1"/>
  <c r="F389" i="1" s="1"/>
  <c r="E390" i="1"/>
  <c r="H386" i="1"/>
  <c r="I386" i="1" s="1"/>
  <c r="H385" i="1"/>
  <c r="I385" i="1" s="1"/>
  <c r="H384" i="1"/>
  <c r="I384" i="1" s="1"/>
  <c r="H383" i="1"/>
  <c r="I383" i="1" s="1"/>
  <c r="H382" i="1"/>
  <c r="I382" i="1" s="1"/>
  <c r="H381" i="1"/>
  <c r="I381" i="1" s="1"/>
  <c r="H380" i="1"/>
  <c r="I380" i="1" s="1"/>
  <c r="H379" i="1"/>
  <c r="I379" i="1" s="1"/>
  <c r="H378" i="1"/>
  <c r="I378" i="1" s="1"/>
  <c r="G377" i="1"/>
  <c r="G373" i="1" s="1"/>
  <c r="G372" i="1" s="1"/>
  <c r="F377" i="1"/>
  <c r="E377" i="1"/>
  <c r="H375" i="1"/>
  <c r="E374" i="1"/>
  <c r="E373" i="1" s="1"/>
  <c r="E372" i="1" s="1"/>
  <c r="G374" i="1"/>
  <c r="F374" i="1"/>
  <c r="F373" i="1" s="1"/>
  <c r="F372" i="1" s="1"/>
  <c r="H369" i="1"/>
  <c r="G369" i="1"/>
  <c r="I369" i="1" s="1"/>
  <c r="F369" i="1"/>
  <c r="E369" i="1"/>
  <c r="E368" i="1" s="1"/>
  <c r="H366" i="1"/>
  <c r="H365" i="1" s="1"/>
  <c r="I365" i="1" s="1"/>
  <c r="G365" i="1"/>
  <c r="F365" i="1"/>
  <c r="E365" i="1"/>
  <c r="H364" i="1"/>
  <c r="H363" i="1" s="1"/>
  <c r="G363" i="1"/>
  <c r="F363" i="1"/>
  <c r="F362" i="1" s="1"/>
  <c r="E363" i="1"/>
  <c r="H360" i="1"/>
  <c r="H359" i="1" s="1"/>
  <c r="G359" i="1"/>
  <c r="F359" i="1"/>
  <c r="E359" i="1"/>
  <c r="E358" i="1"/>
  <c r="H356" i="1"/>
  <c r="G355" i="1"/>
  <c r="F355" i="1"/>
  <c r="E355" i="1"/>
  <c r="H353" i="1"/>
  <c r="I353" i="1"/>
  <c r="H352" i="1"/>
  <c r="I352" i="1"/>
  <c r="F350" i="1"/>
  <c r="E350" i="1"/>
  <c r="H349" i="1"/>
  <c r="I349" i="1"/>
  <c r="G347" i="1"/>
  <c r="F347" i="1"/>
  <c r="E347" i="1"/>
  <c r="H344" i="1"/>
  <c r="I344" i="1" s="1"/>
  <c r="H343" i="1"/>
  <c r="I343" i="1" s="1"/>
  <c r="G342" i="1"/>
  <c r="F342" i="1"/>
  <c r="E342" i="1"/>
  <c r="H340" i="1"/>
  <c r="G339" i="1"/>
  <c r="G338" i="1" s="1"/>
  <c r="F339" i="1"/>
  <c r="E339" i="1"/>
  <c r="H336" i="1"/>
  <c r="G335" i="1"/>
  <c r="F335" i="1"/>
  <c r="E335" i="1"/>
  <c r="H333" i="1"/>
  <c r="G332" i="1"/>
  <c r="F332" i="1"/>
  <c r="E332" i="1"/>
  <c r="E331" i="1" s="1"/>
  <c r="H329" i="1"/>
  <c r="I329" i="1"/>
  <c r="H328" i="1"/>
  <c r="I328" i="1"/>
  <c r="H327" i="1"/>
  <c r="I327" i="1"/>
  <c r="F325" i="1"/>
  <c r="E325" i="1"/>
  <c r="E321" i="1" s="1"/>
  <c r="H324" i="1"/>
  <c r="I324" i="1"/>
  <c r="H323" i="1"/>
  <c r="I323" i="1"/>
  <c r="G322" i="1"/>
  <c r="F322" i="1"/>
  <c r="F321" i="1" s="1"/>
  <c r="E322" i="1"/>
  <c r="H319" i="1"/>
  <c r="H318" i="1" s="1"/>
  <c r="G318" i="1"/>
  <c r="F318" i="1"/>
  <c r="F317" i="1" s="1"/>
  <c r="F316" i="1" s="1"/>
  <c r="E318" i="1"/>
  <c r="E317" i="1"/>
  <c r="E316" i="1" s="1"/>
  <c r="H306" i="1"/>
  <c r="I306" i="1"/>
  <c r="E305" i="1"/>
  <c r="H303" i="1"/>
  <c r="H302" i="1" s="1"/>
  <c r="I302" i="1" s="1"/>
  <c r="G302" i="1"/>
  <c r="F302" i="1"/>
  <c r="E302" i="1"/>
  <c r="H300" i="1"/>
  <c r="G299" i="1"/>
  <c r="F299" i="1"/>
  <c r="F298" i="1" s="1"/>
  <c r="E299" i="1"/>
  <c r="H295" i="1"/>
  <c r="H294" i="1" s="1"/>
  <c r="G295" i="1"/>
  <c r="G294" i="1" s="1"/>
  <c r="G289" i="1" s="1"/>
  <c r="F295" i="1"/>
  <c r="F294" i="1"/>
  <c r="E295" i="1"/>
  <c r="E294" i="1"/>
  <c r="E289" i="1" s="1"/>
  <c r="H292" i="1"/>
  <c r="G291" i="1"/>
  <c r="G283" i="1" s="1"/>
  <c r="F291" i="1"/>
  <c r="E291" i="1"/>
  <c r="E283" i="1" s="1"/>
  <c r="E211" i="1" s="1"/>
  <c r="H280" i="1"/>
  <c r="G279" i="1"/>
  <c r="G278" i="1" s="1"/>
  <c r="E279" i="1"/>
  <c r="E278" i="1"/>
  <c r="H276" i="1"/>
  <c r="I276" i="1"/>
  <c r="H275" i="1"/>
  <c r="I275" i="1"/>
  <c r="G274" i="1"/>
  <c r="F274" i="1"/>
  <c r="E274" i="1"/>
  <c r="H272" i="1"/>
  <c r="H271" i="1" s="1"/>
  <c r="G271" i="1"/>
  <c r="F271" i="1"/>
  <c r="F270" i="1" s="1"/>
  <c r="E271" i="1"/>
  <c r="H255" i="1"/>
  <c r="H254" i="1" s="1"/>
  <c r="I254" i="1" s="1"/>
  <c r="G254" i="1"/>
  <c r="F254" i="1"/>
  <c r="E254" i="1"/>
  <c r="H251" i="1"/>
  <c r="I251" i="1" s="1"/>
  <c r="G250" i="1"/>
  <c r="F250" i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0" i="1"/>
  <c r="I230" i="1" s="1"/>
  <c r="E223" i="1"/>
  <c r="G220" i="1"/>
  <c r="E220" i="1"/>
  <c r="H217" i="1"/>
  <c r="G216" i="1"/>
  <c r="F216" i="1"/>
  <c r="E216" i="1"/>
  <c r="H215" i="1"/>
  <c r="I215" i="1"/>
  <c r="H214" i="1"/>
  <c r="I214" i="1"/>
  <c r="G213" i="1"/>
  <c r="E213" i="1"/>
  <c r="H209" i="1"/>
  <c r="G208" i="1"/>
  <c r="G207" i="1" s="1"/>
  <c r="F208" i="1"/>
  <c r="F207" i="1" s="1"/>
  <c r="E208" i="1"/>
  <c r="E207" i="1" s="1"/>
  <c r="H205" i="1"/>
  <c r="I205" i="1" s="1"/>
  <c r="G204" i="1"/>
  <c r="G203" i="1"/>
  <c r="F204" i="1"/>
  <c r="F203" i="1"/>
  <c r="E204" i="1"/>
  <c r="E203" i="1"/>
  <c r="H201" i="1"/>
  <c r="I201" i="1"/>
  <c r="H200" i="1"/>
  <c r="I200" i="1"/>
  <c r="H199" i="1"/>
  <c r="H197" i="1"/>
  <c r="I197" i="1" s="1"/>
  <c r="H196" i="1"/>
  <c r="I196" i="1" s="1"/>
  <c r="H195" i="1"/>
  <c r="I195" i="1" s="1"/>
  <c r="H193" i="1"/>
  <c r="I193" i="1" s="1"/>
  <c r="H192" i="1"/>
  <c r="I192" i="1" s="1"/>
  <c r="H191" i="1"/>
  <c r="I191" i="1" s="1"/>
  <c r="H190" i="1"/>
  <c r="E188" i="1"/>
  <c r="E187" i="1"/>
  <c r="H185" i="1"/>
  <c r="I185" i="1"/>
  <c r="G184" i="1"/>
  <c r="G183" i="1"/>
  <c r="H183" i="1" s="1"/>
  <c r="I183" i="1" s="1"/>
  <c r="F184" i="1"/>
  <c r="E184" i="1"/>
  <c r="E183" i="1" s="1"/>
  <c r="G180" i="1"/>
  <c r="I180" i="1" s="1"/>
  <c r="F180" i="1"/>
  <c r="E180" i="1"/>
  <c r="E179" i="1"/>
  <c r="H176" i="1"/>
  <c r="I176" i="1"/>
  <c r="E176" i="1"/>
  <c r="E175" i="1"/>
  <c r="F175" i="1"/>
  <c r="G172" i="1"/>
  <c r="F172" i="1"/>
  <c r="E172" i="1"/>
  <c r="E171" i="1" s="1"/>
  <c r="H169" i="1"/>
  <c r="I169" i="1" s="1"/>
  <c r="H168" i="1"/>
  <c r="I168" i="1" s="1"/>
  <c r="F167" i="1"/>
  <c r="F166" i="1" s="1"/>
  <c r="E167" i="1"/>
  <c r="E166" i="1"/>
  <c r="H164" i="1"/>
  <c r="I164" i="1"/>
  <c r="H163" i="1"/>
  <c r="I163" i="1"/>
  <c r="G162" i="1"/>
  <c r="F162" i="1"/>
  <c r="F157" i="1" s="1"/>
  <c r="E162" i="1"/>
  <c r="H160" i="1"/>
  <c r="I160" i="1" s="1"/>
  <c r="H159" i="1"/>
  <c r="I159" i="1" s="1"/>
  <c r="G158" i="1"/>
  <c r="F158" i="1"/>
  <c r="E158" i="1"/>
  <c r="E157" i="1" s="1"/>
  <c r="H156" i="1"/>
  <c r="I156" i="1"/>
  <c r="H155" i="1"/>
  <c r="I155" i="1"/>
  <c r="H154" i="1"/>
  <c r="I154" i="1"/>
  <c r="H152" i="1"/>
  <c r="G152" i="1"/>
  <c r="I152" i="1" s="1"/>
  <c r="F152" i="1"/>
  <c r="E152" i="1"/>
  <c r="E151" i="1" s="1"/>
  <c r="H149" i="1"/>
  <c r="I149" i="1" s="1"/>
  <c r="H148" i="1"/>
  <c r="I148" i="1" s="1"/>
  <c r="H147" i="1"/>
  <c r="I147" i="1" s="1"/>
  <c r="H146" i="1"/>
  <c r="I146" i="1" s="1"/>
  <c r="H145" i="1"/>
  <c r="I145" i="1" s="1"/>
  <c r="E142" i="1"/>
  <c r="H144" i="1"/>
  <c r="I144" i="1"/>
  <c r="H143" i="1"/>
  <c r="I143" i="1"/>
  <c r="G142" i="1"/>
  <c r="H141" i="1"/>
  <c r="H140" i="1" s="1"/>
  <c r="G140" i="1"/>
  <c r="F140" i="1"/>
  <c r="F139" i="1" s="1"/>
  <c r="E140" i="1"/>
  <c r="H137" i="1"/>
  <c r="G136" i="1"/>
  <c r="G135" i="1"/>
  <c r="G126" i="1" s="1"/>
  <c r="F136" i="1"/>
  <c r="F135" i="1"/>
  <c r="E136" i="1"/>
  <c r="E135" i="1"/>
  <c r="E126" i="1" s="1"/>
  <c r="E117" i="1" s="1"/>
  <c r="H133" i="1"/>
  <c r="I133" i="1"/>
  <c r="H132" i="1"/>
  <c r="I132" i="1"/>
  <c r="G131" i="1"/>
  <c r="F131" i="1"/>
  <c r="F126" i="1" s="1"/>
  <c r="F117" i="1" s="1"/>
  <c r="E131" i="1"/>
  <c r="H130" i="1"/>
  <c r="I130" i="1" s="1"/>
  <c r="H129" i="1"/>
  <c r="H128" i="1"/>
  <c r="I128" i="1"/>
  <c r="H127" i="1"/>
  <c r="I127" i="1"/>
  <c r="H125" i="1"/>
  <c r="I125" i="1"/>
  <c r="H124" i="1"/>
  <c r="I124" i="1"/>
  <c r="H123" i="1"/>
  <c r="I123" i="1"/>
  <c r="H122" i="1"/>
  <c r="I122" i="1"/>
  <c r="H121" i="1"/>
  <c r="I121" i="1"/>
  <c r="H120" i="1"/>
  <c r="E118" i="1"/>
  <c r="F118" i="1"/>
  <c r="H115" i="1"/>
  <c r="I115" i="1" s="1"/>
  <c r="H114" i="1"/>
  <c r="I114" i="1" s="1"/>
  <c r="H113" i="1"/>
  <c r="I113" i="1" s="1"/>
  <c r="G112" i="1"/>
  <c r="G107" i="1" s="1"/>
  <c r="F112" i="1"/>
  <c r="E112" i="1"/>
  <c r="E107" i="1" s="1"/>
  <c r="H110" i="1"/>
  <c r="I110" i="1"/>
  <c r="H109" i="1"/>
  <c r="I109" i="1"/>
  <c r="G108" i="1"/>
  <c r="F108" i="1"/>
  <c r="F107" i="1" s="1"/>
  <c r="E108" i="1"/>
  <c r="H105" i="1"/>
  <c r="G104" i="1"/>
  <c r="G103" i="1"/>
  <c r="F104" i="1"/>
  <c r="F103" i="1"/>
  <c r="E104" i="1"/>
  <c r="E103" i="1"/>
  <c r="H101" i="1"/>
  <c r="I101" i="1"/>
  <c r="H100" i="1"/>
  <c r="I100" i="1"/>
  <c r="H99" i="1"/>
  <c r="I99" i="1"/>
  <c r="H98" i="1"/>
  <c r="I98" i="1"/>
  <c r="H97" i="1"/>
  <c r="I97" i="1"/>
  <c r="E95" i="1"/>
  <c r="H94" i="1"/>
  <c r="I94" i="1" s="1"/>
  <c r="H93" i="1"/>
  <c r="I93" i="1" s="1"/>
  <c r="H92" i="1"/>
  <c r="I92" i="1" s="1"/>
  <c r="H91" i="1"/>
  <c r="I91" i="1" s="1"/>
  <c r="H90" i="1"/>
  <c r="I90" i="1" s="1"/>
  <c r="E88" i="1"/>
  <c r="E87" i="1" s="1"/>
  <c r="F88" i="1"/>
  <c r="E83" i="1"/>
  <c r="E82" i="1" s="1"/>
  <c r="F83" i="1"/>
  <c r="H81" i="1"/>
  <c r="I81" i="1"/>
  <c r="H80" i="1"/>
  <c r="G79" i="1"/>
  <c r="G78" i="1" s="1"/>
  <c r="G77" i="1" s="1"/>
  <c r="F79" i="1"/>
  <c r="F78" i="1"/>
  <c r="F77" i="1" s="1"/>
  <c r="E79" i="1"/>
  <c r="E78" i="1" s="1"/>
  <c r="E77" i="1" s="1"/>
  <c r="H76" i="1"/>
  <c r="I76" i="1"/>
  <c r="H75" i="1"/>
  <c r="I75" i="1"/>
  <c r="H74" i="1"/>
  <c r="I74" i="1"/>
  <c r="G73" i="1"/>
  <c r="G72" i="1"/>
  <c r="G71" i="1" s="1"/>
  <c r="F73" i="1"/>
  <c r="F72" i="1"/>
  <c r="E73" i="1"/>
  <c r="E72" i="1"/>
  <c r="E71" i="1" s="1"/>
  <c r="H68" i="1"/>
  <c r="G68" i="1"/>
  <c r="F68" i="1"/>
  <c r="H66" i="1"/>
  <c r="I66" i="1"/>
  <c r="H65" i="1"/>
  <c r="I65" i="1"/>
  <c r="H64" i="1"/>
  <c r="I64" i="1"/>
  <c r="G63" i="1"/>
  <c r="F63" i="1"/>
  <c r="E63" i="1"/>
  <c r="H62" i="1"/>
  <c r="I62" i="1" s="1"/>
  <c r="H61" i="1"/>
  <c r="I61" i="1" s="1"/>
  <c r="G60" i="1"/>
  <c r="F60" i="1"/>
  <c r="E60" i="1"/>
  <c r="H57" i="1"/>
  <c r="I57" i="1"/>
  <c r="H56" i="1"/>
  <c r="I56" i="1"/>
  <c r="E54" i="1"/>
  <c r="G51" i="1"/>
  <c r="F51" i="1"/>
  <c r="E51" i="1"/>
  <c r="H46" i="1"/>
  <c r="I46" i="1"/>
  <c r="H45" i="1"/>
  <c r="I45" i="1"/>
  <c r="H44" i="1"/>
  <c r="I44" i="1"/>
  <c r="G43" i="1"/>
  <c r="F43" i="1"/>
  <c r="F37" i="1" s="1"/>
  <c r="F36" i="1" s="1"/>
  <c r="F34" i="1" s="1"/>
  <c r="E43" i="1"/>
  <c r="H41" i="1"/>
  <c r="I41" i="1" s="1"/>
  <c r="H40" i="1"/>
  <c r="I40" i="1" s="1"/>
  <c r="H39" i="1"/>
  <c r="I39" i="1" s="1"/>
  <c r="G38" i="1"/>
  <c r="G37" i="1" s="1"/>
  <c r="G36" i="1" s="1"/>
  <c r="G34" i="1" s="1"/>
  <c r="F38" i="1"/>
  <c r="E38" i="1"/>
  <c r="E37" i="1" s="1"/>
  <c r="E36" i="1" s="1"/>
  <c r="E34" i="1" s="1"/>
  <c r="H32" i="1"/>
  <c r="I32" i="1"/>
  <c r="H31" i="1"/>
  <c r="I31" i="1"/>
  <c r="H30" i="1"/>
  <c r="I30" i="1"/>
  <c r="E29" i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G18" i="1"/>
  <c r="F18" i="1"/>
  <c r="E18" i="1"/>
  <c r="H16" i="1"/>
  <c r="G15" i="1"/>
  <c r="I15" i="1" s="1"/>
  <c r="F15" i="1"/>
  <c r="E15" i="1"/>
  <c r="E9" i="1" s="1"/>
  <c r="E8" i="1" s="1"/>
  <c r="H14" i="1"/>
  <c r="I14" i="1"/>
  <c r="H13" i="1"/>
  <c r="I13" i="1"/>
  <c r="H12" i="1"/>
  <c r="I12" i="1"/>
  <c r="H11" i="1"/>
  <c r="I11" i="1"/>
  <c r="G10" i="1"/>
  <c r="F10" i="1"/>
  <c r="E10" i="1"/>
  <c r="I120" i="1"/>
  <c r="I190" i="1"/>
  <c r="I621" i="1"/>
  <c r="H392" i="1"/>
  <c r="I392" i="1" s="1"/>
  <c r="I393" i="1"/>
  <c r="I303" i="1"/>
  <c r="H279" i="1"/>
  <c r="I279" i="1" s="1"/>
  <c r="I280" i="1"/>
  <c r="H332" i="1"/>
  <c r="I332" i="1" s="1"/>
  <c r="I333" i="1"/>
  <c r="H339" i="1"/>
  <c r="I339" i="1"/>
  <c r="I340" i="1"/>
  <c r="H355" i="1"/>
  <c r="I355" i="1" s="1"/>
  <c r="I356" i="1"/>
  <c r="H216" i="1"/>
  <c r="I216" i="1" s="1"/>
  <c r="I217" i="1"/>
  <c r="I272" i="1"/>
  <c r="H104" i="1"/>
  <c r="I104" i="1" s="1"/>
  <c r="I105" i="1"/>
  <c r="I68" i="1"/>
  <c r="H79" i="1"/>
  <c r="I80" i="1"/>
  <c r="H507" i="1"/>
  <c r="I508" i="1"/>
  <c r="H15" i="1"/>
  <c r="I16" i="1"/>
  <c r="H291" i="1"/>
  <c r="H290" i="1" s="1"/>
  <c r="I290" i="1" s="1"/>
  <c r="I292" i="1"/>
  <c r="H335" i="1"/>
  <c r="I335" i="1" s="1"/>
  <c r="I336" i="1"/>
  <c r="H204" i="1"/>
  <c r="H299" i="1"/>
  <c r="I299" i="1" s="1"/>
  <c r="I300" i="1"/>
  <c r="H499" i="1"/>
  <c r="I500" i="1"/>
  <c r="I129" i="1"/>
  <c r="H374" i="1"/>
  <c r="I374" i="1" s="1"/>
  <c r="I375" i="1"/>
  <c r="I618" i="1"/>
  <c r="H198" i="1"/>
  <c r="I198" i="1"/>
  <c r="I199" i="1"/>
  <c r="H208" i="1"/>
  <c r="H207" i="1" s="1"/>
  <c r="I207" i="1" s="1"/>
  <c r="I209" i="1"/>
  <c r="H136" i="1"/>
  <c r="I136" i="1" s="1"/>
  <c r="I137" i="1"/>
  <c r="H598" i="1"/>
  <c r="I599" i="1"/>
  <c r="G179" i="1"/>
  <c r="I179" i="1" s="1"/>
  <c r="H175" i="1"/>
  <c r="I175" i="1" s="1"/>
  <c r="F179" i="1"/>
  <c r="I468" i="1"/>
  <c r="F368" i="1"/>
  <c r="H368" i="1"/>
  <c r="H316" i="1" s="1"/>
  <c r="E290" i="1"/>
  <c r="F283" i="1"/>
  <c r="H511" i="1"/>
  <c r="I511" i="1" s="1"/>
  <c r="H151" i="1"/>
  <c r="I151" i="1" s="1"/>
  <c r="F151" i="1"/>
  <c r="G151" i="1"/>
  <c r="H481" i="1"/>
  <c r="E389" i="1"/>
  <c r="H503" i="1"/>
  <c r="E396" i="1"/>
  <c r="E395" i="1" s="1"/>
  <c r="G317" i="1"/>
  <c r="H162" i="1"/>
  <c r="E624" i="1"/>
  <c r="H158" i="1"/>
  <c r="H157" i="1" s="1"/>
  <c r="I157" i="1" s="1"/>
  <c r="E346" i="1"/>
  <c r="F290" i="1"/>
  <c r="H38" i="1"/>
  <c r="I38" i="1" s="1"/>
  <c r="H83" i="1"/>
  <c r="H112" i="1"/>
  <c r="I112" i="1" s="1"/>
  <c r="H29" i="1"/>
  <c r="E338" i="1"/>
  <c r="H532" i="1"/>
  <c r="H487" i="1"/>
  <c r="E219" i="1"/>
  <c r="G531" i="1"/>
  <c r="H447" i="1"/>
  <c r="I447" i="1" s="1"/>
  <c r="G510" i="1"/>
  <c r="G139" i="1"/>
  <c r="H18" i="1"/>
  <c r="I18" i="1" s="1"/>
  <c r="H213" i="1"/>
  <c r="I213" i="1" s="1"/>
  <c r="F976" i="1"/>
  <c r="F975" i="1" s="1"/>
  <c r="F974" i="1" s="1"/>
  <c r="G212" i="1"/>
  <c r="F522" i="1"/>
  <c r="F627" i="1"/>
  <c r="F624" i="1" s="1"/>
  <c r="G502" i="1"/>
  <c r="H131" i="1"/>
  <c r="I131" i="1" s="1"/>
  <c r="E212" i="1"/>
  <c r="H73" i="1"/>
  <c r="F499" i="1"/>
  <c r="H491" i="1"/>
  <c r="I491" i="1" s="1"/>
  <c r="G358" i="1"/>
  <c r="F338" i="1"/>
  <c r="H142" i="1"/>
  <c r="E253" i="1"/>
  <c r="H10" i="1"/>
  <c r="F82" i="1"/>
  <c r="F223" i="1"/>
  <c r="H274" i="1"/>
  <c r="G362" i="1"/>
  <c r="H167" i="1"/>
  <c r="I167" i="1" s="1"/>
  <c r="G627" i="1"/>
  <c r="G290" i="1"/>
  <c r="H602" i="1"/>
  <c r="H976" i="1"/>
  <c r="H975" i="1" s="1"/>
  <c r="H974" i="1" s="1"/>
  <c r="F278" i="1"/>
  <c r="H43" i="1"/>
  <c r="F171" i="1"/>
  <c r="H250" i="1"/>
  <c r="I250" i="1" s="1"/>
  <c r="H526" i="1"/>
  <c r="H522" i="1" s="1"/>
  <c r="H108" i="1"/>
  <c r="H438" i="1"/>
  <c r="E298" i="1"/>
  <c r="H322" i="1"/>
  <c r="I322" i="1" s="1"/>
  <c r="E362" i="1"/>
  <c r="E491" i="1"/>
  <c r="I976" i="1"/>
  <c r="H60" i="1"/>
  <c r="I60" i="1" s="1"/>
  <c r="H63" i="1"/>
  <c r="I583" i="1"/>
  <c r="E270" i="1"/>
  <c r="F71" i="1"/>
  <c r="E139" i="1"/>
  <c r="H52" i="1"/>
  <c r="H184" i="1"/>
  <c r="I184" i="1" s="1"/>
  <c r="H194" i="1"/>
  <c r="I537" i="1"/>
  <c r="I972" i="1"/>
  <c r="I971" i="1" s="1"/>
  <c r="I968" i="1" s="1"/>
  <c r="I967" i="1" s="1"/>
  <c r="I981" i="1" s="1"/>
  <c r="F971" i="1"/>
  <c r="H348" i="1"/>
  <c r="H55" i="1"/>
  <c r="H54" i="1" s="1"/>
  <c r="I54" i="1" s="1"/>
  <c r="F188" i="1"/>
  <c r="F187" i="1"/>
  <c r="H305" i="1"/>
  <c r="G188" i="1"/>
  <c r="G187" i="1"/>
  <c r="F346" i="1"/>
  <c r="F142" i="1"/>
  <c r="H96" i="1"/>
  <c r="I96" i="1" s="1"/>
  <c r="G167" i="1"/>
  <c r="G171" i="1"/>
  <c r="H221" i="1"/>
  <c r="G270" i="1"/>
  <c r="G157" i="1"/>
  <c r="F54" i="1"/>
  <c r="G29" i="1"/>
  <c r="G54" i="1"/>
  <c r="G83" i="1"/>
  <c r="F95" i="1"/>
  <c r="F87" i="1" s="1"/>
  <c r="H326" i="1"/>
  <c r="H325" i="1" s="1"/>
  <c r="I325" i="1" s="1"/>
  <c r="G325" i="1"/>
  <c r="G321" i="1"/>
  <c r="F29" i="1"/>
  <c r="G95" i="1"/>
  <c r="F183" i="1"/>
  <c r="F220" i="1"/>
  <c r="H377" i="1"/>
  <c r="I377" i="1" s="1"/>
  <c r="F213" i="1"/>
  <c r="F531" i="1"/>
  <c r="G88" i="1"/>
  <c r="I88" i="1" s="1"/>
  <c r="G223" i="1"/>
  <c r="G219" i="1" s="1"/>
  <c r="G298" i="1"/>
  <c r="F305" i="1"/>
  <c r="F358" i="1"/>
  <c r="H431" i="1"/>
  <c r="I431" i="1" s="1"/>
  <c r="G499" i="1"/>
  <c r="G976" i="1"/>
  <c r="G975" i="1" s="1"/>
  <c r="G974" i="1" s="1"/>
  <c r="F625" i="1"/>
  <c r="G625" i="1"/>
  <c r="G624" i="1" s="1"/>
  <c r="F629" i="1"/>
  <c r="H257" i="1"/>
  <c r="G453" i="1"/>
  <c r="G629" i="1"/>
  <c r="F438" i="1"/>
  <c r="F477" i="1"/>
  <c r="G438" i="1"/>
  <c r="G477" i="1"/>
  <c r="F502" i="1"/>
  <c r="F331" i="1"/>
  <c r="G346" i="1"/>
  <c r="F491" i="1"/>
  <c r="G331" i="1"/>
  <c r="G389" i="1"/>
  <c r="G431" i="1"/>
  <c r="G491" i="1"/>
  <c r="F510" i="1"/>
  <c r="G602" i="1"/>
  <c r="G601" i="1"/>
  <c r="H634" i="1"/>
  <c r="H631" i="1"/>
  <c r="F253" i="1"/>
  <c r="F617" i="1"/>
  <c r="H461" i="1"/>
  <c r="I461" i="1" s="1"/>
  <c r="H224" i="1"/>
  <c r="I224" i="1" s="1"/>
  <c r="H226" i="1"/>
  <c r="I226" i="1" s="1"/>
  <c r="H228" i="1"/>
  <c r="I228" i="1" s="1"/>
  <c r="H229" i="1"/>
  <c r="I229" i="1" s="1"/>
  <c r="H231" i="1"/>
  <c r="I231" i="1" s="1"/>
  <c r="H253" i="1"/>
  <c r="I188" i="1"/>
  <c r="I438" i="1"/>
  <c r="I55" i="1"/>
  <c r="I108" i="1"/>
  <c r="H601" i="1"/>
  <c r="I601" i="1" s="1"/>
  <c r="I602" i="1"/>
  <c r="I142" i="1"/>
  <c r="I487" i="1"/>
  <c r="I29" i="1"/>
  <c r="I274" i="1"/>
  <c r="H502" i="1"/>
  <c r="I502" i="1" s="1"/>
  <c r="I503" i="1"/>
  <c r="I350" i="1"/>
  <c r="H203" i="1"/>
  <c r="I203" i="1" s="1"/>
  <c r="I204" i="1"/>
  <c r="I83" i="1"/>
  <c r="H506" i="1"/>
  <c r="I506" i="1"/>
  <c r="I507" i="1"/>
  <c r="H95" i="1"/>
  <c r="I95" i="1" s="1"/>
  <c r="H480" i="1"/>
  <c r="I480" i="1" s="1"/>
  <c r="I481" i="1"/>
  <c r="H597" i="1"/>
  <c r="I597" i="1"/>
  <c r="I598" i="1"/>
  <c r="I194" i="1"/>
  <c r="I10" i="1"/>
  <c r="H78" i="1"/>
  <c r="I79" i="1"/>
  <c r="H220" i="1"/>
  <c r="I221" i="1"/>
  <c r="I43" i="1"/>
  <c r="H72" i="1"/>
  <c r="H71" i="1"/>
  <c r="I71" i="1" s="1"/>
  <c r="I73" i="1"/>
  <c r="I158" i="1"/>
  <c r="I453" i="1"/>
  <c r="H347" i="1"/>
  <c r="I347" i="1"/>
  <c r="I348" i="1"/>
  <c r="I63" i="1"/>
  <c r="I291" i="1"/>
  <c r="H51" i="1"/>
  <c r="I51" i="1" s="1"/>
  <c r="I52" i="1"/>
  <c r="H166" i="1"/>
  <c r="H103" i="1"/>
  <c r="I103" i="1" s="1"/>
  <c r="I162" i="1"/>
  <c r="I499" i="1"/>
  <c r="H609" i="1"/>
  <c r="I609" i="1" s="1"/>
  <c r="H542" i="1"/>
  <c r="H536" i="1" s="1"/>
  <c r="I536" i="1" s="1"/>
  <c r="F396" i="1"/>
  <c r="F395" i="1" s="1"/>
  <c r="H82" i="1"/>
  <c r="I82" i="1" s="1"/>
  <c r="F494" i="1"/>
  <c r="H531" i="1"/>
  <c r="H212" i="1"/>
  <c r="I212" i="1" s="1"/>
  <c r="H486" i="1"/>
  <c r="I975" i="1"/>
  <c r="I974" i="1"/>
  <c r="F968" i="1"/>
  <c r="F967" i="1" s="1"/>
  <c r="H126" i="1"/>
  <c r="F219" i="1"/>
  <c r="H107" i="1"/>
  <c r="I107" i="1" s="1"/>
  <c r="G494" i="1"/>
  <c r="G166" i="1"/>
  <c r="G87" i="1"/>
  <c r="I87" i="1" s="1"/>
  <c r="F212" i="1"/>
  <c r="F211" i="1" s="1"/>
  <c r="G82" i="1"/>
  <c r="F486" i="1"/>
  <c r="G536" i="1"/>
  <c r="G305" i="1"/>
  <c r="I305" i="1" s="1"/>
  <c r="F9" i="1"/>
  <c r="I346" i="1"/>
  <c r="G9" i="1"/>
  <c r="G486" i="1"/>
  <c r="H223" i="1"/>
  <c r="I223" i="1" s="1"/>
  <c r="I166" i="1"/>
  <c r="H187" i="1"/>
  <c r="I187" i="1"/>
  <c r="H77" i="1"/>
  <c r="I78" i="1"/>
  <c r="I126" i="1"/>
  <c r="H608" i="1"/>
  <c r="I608" i="1" s="1"/>
  <c r="I72" i="1"/>
  <c r="I220" i="1"/>
  <c r="I486" i="1"/>
  <c r="F8" i="1"/>
  <c r="F981" i="1"/>
  <c r="H624" i="1"/>
  <c r="H219" i="1"/>
  <c r="I219" i="1" s="1"/>
  <c r="I77" i="1"/>
  <c r="H270" i="1" l="1"/>
  <c r="I270" i="1" s="1"/>
  <c r="I271" i="1"/>
  <c r="F289" i="1"/>
  <c r="H139" i="1"/>
  <c r="I139" i="1" s="1"/>
  <c r="I140" i="1"/>
  <c r="H317" i="1"/>
  <c r="I317" i="1" s="1"/>
  <c r="I318" i="1"/>
  <c r="I359" i="1"/>
  <c r="H358" i="1"/>
  <c r="I358" i="1" s="1"/>
  <c r="I363" i="1"/>
  <c r="H362" i="1"/>
  <c r="I362" i="1" s="1"/>
  <c r="H389" i="1"/>
  <c r="I389" i="1" s="1"/>
  <c r="I390" i="1"/>
  <c r="E388" i="1"/>
  <c r="E639" i="1" s="1"/>
  <c r="H981" i="1"/>
  <c r="I901" i="1"/>
  <c r="I897" i="1"/>
  <c r="I896" i="1" s="1"/>
  <c r="I890" i="1"/>
  <c r="G890" i="1"/>
  <c r="E698" i="1"/>
  <c r="E697" i="1"/>
  <c r="H707" i="1"/>
  <c r="I708" i="1"/>
  <c r="I699" i="1"/>
  <c r="H698" i="1"/>
  <c r="I672" i="1"/>
  <c r="H671" i="1"/>
  <c r="I671" i="1" s="1"/>
  <c r="H670" i="1"/>
  <c r="F662" i="1"/>
  <c r="G663" i="1"/>
  <c r="I664" i="1"/>
  <c r="E663" i="1"/>
  <c r="E662" i="1" s="1"/>
  <c r="E722" i="1" s="1"/>
  <c r="I659" i="1"/>
  <c r="H658" i="1"/>
  <c r="I652" i="1"/>
  <c r="G651" i="1"/>
  <c r="G722" i="1" s="1"/>
  <c r="F651" i="1"/>
  <c r="F722" i="1" s="1"/>
  <c r="I398" i="1"/>
  <c r="G397" i="1"/>
  <c r="G396" i="1" s="1"/>
  <c r="G395" i="1" s="1"/>
  <c r="G388" i="1" s="1"/>
  <c r="I542" i="1"/>
  <c r="H321" i="1"/>
  <c r="I321" i="1" s="1"/>
  <c r="H373" i="1"/>
  <c r="H510" i="1"/>
  <c r="I510" i="1" s="1"/>
  <c r="H9" i="1"/>
  <c r="I9" i="1" s="1"/>
  <c r="H37" i="1"/>
  <c r="I208" i="1"/>
  <c r="I326" i="1"/>
  <c r="H298" i="1"/>
  <c r="I298" i="1" s="1"/>
  <c r="H278" i="1"/>
  <c r="I278" i="1" s="1"/>
  <c r="G971" i="1"/>
  <c r="G968" i="1" s="1"/>
  <c r="G967" i="1" s="1"/>
  <c r="G981" i="1" s="1"/>
  <c r="H331" i="1"/>
  <c r="I331" i="1" s="1"/>
  <c r="H135" i="1"/>
  <c r="I135" i="1" s="1"/>
  <c r="H342" i="1"/>
  <c r="H495" i="1"/>
  <c r="G368" i="1"/>
  <c r="I368" i="1" s="1"/>
  <c r="I360" i="1"/>
  <c r="I366" i="1"/>
  <c r="I391" i="1"/>
  <c r="I255" i="1"/>
  <c r="I364" i="1"/>
  <c r="I141" i="1"/>
  <c r="I319" i="1"/>
  <c r="I663" i="1"/>
  <c r="H722" i="1"/>
  <c r="I722" i="1" s="1"/>
  <c r="I651" i="1"/>
  <c r="H865" i="1"/>
  <c r="H864" i="1" s="1"/>
  <c r="F864" i="1"/>
  <c r="F855" i="1" s="1"/>
  <c r="F949" i="1" s="1"/>
  <c r="I856" i="1"/>
  <c r="I855" i="1" s="1"/>
  <c r="I949" i="1" s="1"/>
  <c r="H856" i="1"/>
  <c r="G856" i="1"/>
  <c r="G855" i="1" s="1"/>
  <c r="G949" i="1" s="1"/>
  <c r="I742" i="1"/>
  <c r="F734" i="1"/>
  <c r="I734" i="1" s="1"/>
  <c r="I729" i="1" s="1"/>
  <c r="I803" i="1" s="1"/>
  <c r="I735" i="1"/>
  <c r="H729" i="1"/>
  <c r="I711" i="1"/>
  <c r="H710" i="1"/>
  <c r="I710" i="1" s="1"/>
  <c r="I687" i="1"/>
  <c r="I714" i="1"/>
  <c r="H929" i="1"/>
  <c r="G929" i="1"/>
  <c r="E820" i="1"/>
  <c r="E825" i="1" s="1"/>
  <c r="E797" i="1" s="1"/>
  <c r="E796" i="1" s="1"/>
  <c r="E748" i="1" s="1"/>
  <c r="E803" i="1" s="1"/>
  <c r="H757" i="1"/>
  <c r="H756" i="1" s="1"/>
  <c r="H748" i="1" s="1"/>
  <c r="I749" i="1"/>
  <c r="H749" i="1"/>
  <c r="G734" i="1"/>
  <c r="H734" i="1" s="1"/>
  <c r="H735" i="1"/>
  <c r="I119" i="1"/>
  <c r="G118" i="1"/>
  <c r="I311" i="1"/>
  <c r="H310" i="1"/>
  <c r="I310" i="1" s="1"/>
  <c r="I289" i="1" s="1"/>
  <c r="I264" i="1"/>
  <c r="G257" i="1"/>
  <c r="G253" i="1" s="1"/>
  <c r="I253" i="1" s="1"/>
  <c r="H397" i="1"/>
  <c r="I400" i="1"/>
  <c r="I464" i="1"/>
  <c r="H283" i="1"/>
  <c r="I283" i="1" s="1"/>
  <c r="I284" i="1"/>
  <c r="F583" i="1"/>
  <c r="F536" i="1" s="1"/>
  <c r="F388" i="1" s="1"/>
  <c r="H172" i="1"/>
  <c r="I173" i="1"/>
  <c r="I544" i="1"/>
  <c r="I572" i="1"/>
  <c r="I591" i="1"/>
  <c r="I603" i="1"/>
  <c r="E642" i="1" l="1"/>
  <c r="E643" i="1" s="1"/>
  <c r="E641" i="1"/>
  <c r="H171" i="1"/>
  <c r="I172" i="1"/>
  <c r="I397" i="1"/>
  <c r="H396" i="1"/>
  <c r="I118" i="1"/>
  <c r="G117" i="1"/>
  <c r="F729" i="1"/>
  <c r="F803" i="1" s="1"/>
  <c r="G729" i="1"/>
  <c r="G803" i="1" s="1"/>
  <c r="H855" i="1"/>
  <c r="H949" i="1" s="1"/>
  <c r="H338" i="1"/>
  <c r="I338" i="1" s="1"/>
  <c r="I342" i="1"/>
  <c r="H36" i="1"/>
  <c r="I37" i="1"/>
  <c r="H657" i="1"/>
  <c r="I657" i="1" s="1"/>
  <c r="I658" i="1"/>
  <c r="I670" i="1"/>
  <c r="H706" i="1"/>
  <c r="I706" i="1" s="1"/>
  <c r="I707" i="1"/>
  <c r="H289" i="1"/>
  <c r="I257" i="1"/>
  <c r="H803" i="1"/>
  <c r="H494" i="1"/>
  <c r="I494" i="1" s="1"/>
  <c r="I495" i="1"/>
  <c r="I373" i="1"/>
  <c r="H372" i="1"/>
  <c r="I372" i="1" s="1"/>
  <c r="I698" i="1"/>
  <c r="H697" i="1"/>
  <c r="I697" i="1" s="1"/>
  <c r="G316" i="1"/>
  <c r="I316" i="1" s="1"/>
  <c r="G211" i="1"/>
  <c r="H211" i="1"/>
  <c r="I211" i="1" s="1"/>
  <c r="F639" i="1"/>
  <c r="F641" i="1" l="1"/>
  <c r="F642" i="1"/>
  <c r="F643" i="1" s="1"/>
  <c r="H34" i="1"/>
  <c r="I34" i="1" s="1"/>
  <c r="I36" i="1"/>
  <c r="I117" i="1"/>
  <c r="G8" i="1"/>
  <c r="G639" i="1" s="1"/>
  <c r="I396" i="1"/>
  <c r="H395" i="1"/>
  <c r="H662" i="1"/>
  <c r="I662" i="1" s="1"/>
  <c r="I171" i="1"/>
  <c r="H8" i="1"/>
  <c r="G642" i="1" l="1"/>
  <c r="G643" i="1" s="1"/>
  <c r="G641" i="1"/>
  <c r="H388" i="1"/>
  <c r="I388" i="1" s="1"/>
  <c r="I395" i="1"/>
  <c r="H639" i="1"/>
  <c r="I8" i="1"/>
  <c r="I639" i="1" l="1"/>
  <c r="H642" i="1"/>
  <c r="H641" i="1"/>
  <c r="I641" i="1" s="1"/>
  <c r="H643" i="1" l="1"/>
  <c r="I643" i="1" s="1"/>
  <c r="I642" i="1"/>
</calcChain>
</file>

<file path=xl/sharedStrings.xml><?xml version="1.0" encoding="utf-8"?>
<sst xmlns="http://schemas.openxmlformats.org/spreadsheetml/2006/main" count="579" uniqueCount="287">
  <si>
    <t xml:space="preserve">за рахунок коштів бюджету розвитку                                                                                                                                   </t>
  </si>
  <si>
    <t>Коломийської міської  територіальної громади</t>
  </si>
  <si>
    <t>грн.</t>
  </si>
  <si>
    <t xml:space="preserve">Код типової відомчої класифікації видатків місцевих бюджетів </t>
  </si>
  <si>
    <t>Найменування коду тимчасової класифікації видатків та кредитування місцевих бюджетів</t>
  </si>
  <si>
    <t>Код Функціональної класифікації видатків та кредитування бюджету</t>
  </si>
  <si>
    <t>Назва об'єкту відповідно до проектно-кошторисної документації</t>
  </si>
  <si>
    <t>Залишки асигнувань</t>
  </si>
  <si>
    <t>до кінця року</t>
  </si>
  <si>
    <t>0110000</t>
  </si>
  <si>
    <t>Міська рада</t>
  </si>
  <si>
    <t>0110150</t>
  </si>
  <si>
    <t>0150</t>
  </si>
  <si>
    <t>Разом 3110</t>
  </si>
  <si>
    <t>Разом 3122</t>
  </si>
  <si>
    <t>Разом 3132</t>
  </si>
  <si>
    <t>Разом 3142</t>
  </si>
  <si>
    <t>0110180</t>
  </si>
  <si>
    <t>0180</t>
  </si>
  <si>
    <t>Капітальні видатки на програму "Громадський бюджет міста Коломиї на 2017-2021 роки":</t>
  </si>
  <si>
    <t>0112010</t>
  </si>
  <si>
    <t>2010</t>
  </si>
  <si>
    <t>Разом 3210</t>
  </si>
  <si>
    <t>0112111</t>
  </si>
  <si>
    <t>2111</t>
  </si>
  <si>
    <t>0112142</t>
  </si>
  <si>
    <t>2142</t>
  </si>
  <si>
    <t>0112152</t>
  </si>
  <si>
    <t>2152</t>
  </si>
  <si>
    <t>0112051</t>
  </si>
  <si>
    <t>2051</t>
  </si>
  <si>
    <t>0116011</t>
  </si>
  <si>
    <t>6011</t>
  </si>
  <si>
    <t>Капітальні видатки на " Програму співфінансування проведення капітальних ремонтів в житлових будинках ОСББ м. Коломиї на 2018-2022 роки"</t>
  </si>
  <si>
    <t>0116082</t>
  </si>
  <si>
    <t>Разом 3121</t>
  </si>
  <si>
    <t>Програма "Забезпечення тимчасовим житлом внутрішньо-переміщених осіб на 2021 рік"</t>
  </si>
  <si>
    <t>0116083</t>
  </si>
  <si>
    <t>0117321</t>
  </si>
  <si>
    <t>0117322</t>
  </si>
  <si>
    <t>0117323</t>
  </si>
  <si>
    <t>7323</t>
  </si>
  <si>
    <t>0117325</t>
  </si>
  <si>
    <t>7325</t>
  </si>
  <si>
    <t>0117330</t>
  </si>
  <si>
    <t>0117340</t>
  </si>
  <si>
    <t>Разом 3143</t>
  </si>
  <si>
    <t>0117350</t>
  </si>
  <si>
    <t>Разом 2281</t>
  </si>
  <si>
    <t>На Програму "Розроблення та оновлення містобудівної документації Коломийської територіальної громади на 2022-2026 роки"</t>
  </si>
  <si>
    <t>0117370</t>
  </si>
  <si>
    <t>0117693</t>
  </si>
  <si>
    <t>0118311</t>
  </si>
  <si>
    <t>0118230</t>
  </si>
  <si>
    <t>0118240</t>
  </si>
  <si>
    <t>0118775</t>
  </si>
  <si>
    <t>0119800</t>
  </si>
  <si>
    <t>Разом 3220</t>
  </si>
  <si>
    <t>0610000</t>
  </si>
  <si>
    <t>Управління освіти</t>
  </si>
  <si>
    <t>0610160</t>
  </si>
  <si>
    <t>0160</t>
  </si>
  <si>
    <t>0611010</t>
  </si>
  <si>
    <t>1010</t>
  </si>
  <si>
    <t>0611021</t>
  </si>
  <si>
    <t>0611070</t>
  </si>
  <si>
    <t>0611160</t>
  </si>
  <si>
    <t>0810000</t>
  </si>
  <si>
    <t>Управління соціальної політики</t>
  </si>
  <si>
    <t>0810160</t>
  </si>
  <si>
    <t>0813124</t>
  </si>
  <si>
    <t>0813105</t>
  </si>
  <si>
    <t>,</t>
  </si>
  <si>
    <t>0813230</t>
  </si>
  <si>
    <t>1010000</t>
  </si>
  <si>
    <t>Управління культури та туризму</t>
  </si>
  <si>
    <t>1010160</t>
  </si>
  <si>
    <t>1014030</t>
  </si>
  <si>
    <t>4030</t>
  </si>
  <si>
    <t>1014040</t>
  </si>
  <si>
    <t>1014060</t>
  </si>
  <si>
    <t>1014081</t>
  </si>
  <si>
    <t>4081</t>
  </si>
  <si>
    <t>1014082</t>
  </si>
  <si>
    <t>4082</t>
  </si>
  <si>
    <t>1110000</t>
  </si>
  <si>
    <t>Управління спорту</t>
  </si>
  <si>
    <t>3110000</t>
  </si>
  <si>
    <t>Управління комунального господарства</t>
  </si>
  <si>
    <t>Капітальний ремонт вулиць</t>
  </si>
  <si>
    <t>Капітальний ремонт тротуарів</t>
  </si>
  <si>
    <t>Капітальний ремонт міжквартальних проїздів</t>
  </si>
  <si>
    <t>Капітальний ремонт майданчиків</t>
  </si>
  <si>
    <t>Капітальний ремонт мереж зовнішнього освітлення</t>
  </si>
  <si>
    <t xml:space="preserve">Капітальний ремонт автобусних зупинок </t>
  </si>
  <si>
    <t>Капітальний ремонт інших об'єктів</t>
  </si>
  <si>
    <t>3117310</t>
  </si>
  <si>
    <t>3117321</t>
  </si>
  <si>
    <t>3117322</t>
  </si>
  <si>
    <t>3117323</t>
  </si>
  <si>
    <t>3117324</t>
  </si>
  <si>
    <t>3117325</t>
  </si>
  <si>
    <t>3117330</t>
  </si>
  <si>
    <t>3117340</t>
  </si>
  <si>
    <t>3117370</t>
  </si>
  <si>
    <t>Управління земельних відносин та майнових ресурсів</t>
  </si>
  <si>
    <t>Управління фінансів і внутрішнього аудиту</t>
  </si>
  <si>
    <t>3710160</t>
  </si>
  <si>
    <t>Субвенція обласному бюджету на:</t>
  </si>
  <si>
    <t>Субвенція обласному бюджету на придбання обладнання:</t>
  </si>
  <si>
    <t xml:space="preserve">Спрямування  залишку коштів </t>
  </si>
  <si>
    <r>
      <rPr>
        <b/>
        <sz val="16"/>
        <color indexed="55"/>
        <rFont val="Times New Roman"/>
        <family val="1"/>
        <charset val="204"/>
      </rPr>
      <t xml:space="preserve">Спрямування вільного залишку коштів із загального фонду до бюджету розвитку (спеціального фонду) станом на 01.01.2022 року - </t>
    </r>
    <r>
      <rPr>
        <b/>
        <sz val="16"/>
        <color indexed="45"/>
        <rFont val="Times New Roman"/>
        <family val="1"/>
        <charset val="204"/>
      </rPr>
      <t>ПЕРЕДАЧА</t>
    </r>
  </si>
  <si>
    <t>ПЕРЕДАЧА</t>
  </si>
  <si>
    <t xml:space="preserve">Капітальний ремонт інших об'єктів </t>
  </si>
  <si>
    <r>
      <rPr>
        <b/>
        <sz val="18"/>
        <color indexed="31"/>
        <rFont val="Times New Roman"/>
        <family val="1"/>
        <charset val="204"/>
      </rPr>
      <t xml:space="preserve">За рахунок повернутих коштів, наданих для виконання гарантійних зобов’язань за позичальників, що отримали кредити під місцеві гарантії - </t>
    </r>
    <r>
      <rPr>
        <b/>
        <sz val="18"/>
        <color indexed="45"/>
        <rFont val="Times New Roman"/>
        <family val="1"/>
        <charset val="204"/>
      </rPr>
      <t>РАХУНОК</t>
    </r>
  </si>
  <si>
    <t>ВСЬОГО</t>
  </si>
  <si>
    <r>
      <rPr>
        <b/>
        <sz val="11"/>
        <rFont val="Times New Roman"/>
        <family val="1"/>
        <charset val="204"/>
      </rPr>
      <t>За рахунок субвенції з обласного бюджету -</t>
    </r>
    <r>
      <rPr>
        <b/>
        <sz val="14"/>
        <rFont val="Times New Roman"/>
        <family val="1"/>
        <charset val="204"/>
      </rPr>
      <t xml:space="preserve"> 41050600</t>
    </r>
    <r>
      <rPr>
        <b/>
        <sz val="11"/>
        <rFont val="Times New Roman"/>
        <family val="1"/>
        <charset val="204"/>
      </rPr>
      <t xml:space="preserve"> "Субвенція з місцевого бюджету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 пунктів 11 - 14 частини другої статті 7 або учасниками бойових дій відповідно до пунктів 19 - 21 частини першої статті 6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 " - </t>
    </r>
    <r>
      <rPr>
        <b/>
        <sz val="16"/>
        <color indexed="45"/>
        <rFont val="Times New Roman"/>
        <family val="1"/>
        <charset val="204"/>
      </rPr>
      <t>ПЕРЕДАЧА</t>
    </r>
  </si>
  <si>
    <t>08</t>
  </si>
  <si>
    <t>0813222</t>
  </si>
  <si>
    <t>1060</t>
  </si>
  <si>
    <t>Разом 3240</t>
  </si>
  <si>
    <r>
      <rPr>
        <b/>
        <sz val="14"/>
        <color indexed="55"/>
        <rFont val="Times New Roman"/>
        <family val="1"/>
        <charset val="204"/>
      </rPr>
      <t xml:space="preserve">За рахунок субвенції з державного бюджету  - 41032300 "Субвенція з державного бюджету  місцевим бюджетам на реалізацію інфраструктурних проектів та розвиток об'єктів соціально - культурної сфери" - </t>
    </r>
    <r>
      <rPr>
        <b/>
        <sz val="14"/>
        <color indexed="45"/>
        <rFont val="Times New Roman"/>
        <family val="1"/>
        <charset val="204"/>
      </rPr>
      <t>ПЕРЕДАЧА</t>
    </r>
  </si>
  <si>
    <t>Затверджений план на 2022 рік</t>
  </si>
  <si>
    <t>Уточнений план на 2022 рік</t>
  </si>
  <si>
    <t>План на січень-квітень 2022 року</t>
  </si>
  <si>
    <t>01.05.2022 р.</t>
  </si>
  <si>
    <t>31</t>
  </si>
  <si>
    <t>Капітальний ремонт дорожнього покриття вул. Старицького в м. Коломия Івано-Франківської області</t>
  </si>
  <si>
    <r>
      <rPr>
        <b/>
        <sz val="14"/>
        <color indexed="55"/>
        <rFont val="Times New Roman"/>
        <family val="1"/>
        <charset val="204"/>
      </rPr>
      <t xml:space="preserve">За рахунок субвенції з державного бюджету  - 41032500 "Субвенція з державного бюджету  місцевим бюджетам на розвиток комунальної інфраструктури, у тому числі на придбання комунальної технікии" - </t>
    </r>
    <r>
      <rPr>
        <b/>
        <sz val="14"/>
        <color indexed="45"/>
        <rFont val="Times New Roman"/>
        <family val="1"/>
        <charset val="204"/>
      </rPr>
      <t>ПЕРЕДАЧА</t>
    </r>
  </si>
  <si>
    <t>Придбання комунальної техніки</t>
  </si>
  <si>
    <t>За рахунок субвенції з обласного бюджету (41053900- Інша субвенція )</t>
  </si>
  <si>
    <t>0112151</t>
  </si>
  <si>
    <t>2151</t>
  </si>
  <si>
    <t>06</t>
  </si>
  <si>
    <t>10</t>
  </si>
  <si>
    <t>Управління Культури</t>
  </si>
  <si>
    <t>0829</t>
  </si>
  <si>
    <r>
      <rPr>
        <b/>
        <sz val="14"/>
        <rFont val="Times New Roman"/>
        <family val="1"/>
        <charset val="204"/>
      </rPr>
      <t xml:space="preserve">За рахунок субвенції з обласного бюджету - 41056400 "Субвенція з місцевого бюджету  на створення мережі спеціалізованих служб підтримки осіб, які постраждали від домашнього насильства та/або насильства за ознакою статі за рахунок відповідної субвенції з державного бюджету " - 41056400 - </t>
    </r>
    <r>
      <rPr>
        <b/>
        <sz val="16"/>
        <color indexed="45"/>
        <rFont val="Times New Roman"/>
        <family val="1"/>
        <charset val="204"/>
      </rPr>
      <t>ПЕРЕДАЧА</t>
    </r>
  </si>
  <si>
    <t>1040</t>
  </si>
  <si>
    <t xml:space="preserve">Спрямування залишок коштів загального фонду , який склався станом на 01.01.2022р., як субвенцію з державного бюджету місцевим бюджетам </t>
  </si>
  <si>
    <r>
      <rPr>
        <b/>
        <sz val="16"/>
        <color indexed="55"/>
        <rFont val="Times New Roman"/>
        <family val="1"/>
        <charset val="204"/>
      </rPr>
      <t xml:space="preserve">на здійснення заходів щодо соціально –економічного розвитку окремих територій - субвенція </t>
    </r>
    <r>
      <rPr>
        <b/>
        <sz val="20"/>
        <color indexed="45"/>
        <rFont val="Times New Roman"/>
        <family val="1"/>
        <charset val="204"/>
      </rPr>
      <t>41054101</t>
    </r>
    <r>
      <rPr>
        <b/>
        <sz val="16"/>
        <color indexed="55"/>
        <rFont val="Times New Roman"/>
        <family val="1"/>
        <charset val="204"/>
      </rPr>
      <t xml:space="preserve"> - </t>
    </r>
    <r>
      <rPr>
        <b/>
        <sz val="16"/>
        <color indexed="45"/>
        <rFont val="Times New Roman"/>
        <family val="1"/>
        <charset val="204"/>
      </rPr>
      <t>РОБИМО ПЕРЕДАЧУ</t>
    </r>
  </si>
  <si>
    <t>01</t>
  </si>
  <si>
    <t>0117363</t>
  </si>
  <si>
    <t>Нове будівництво спортивного майданчика Коломийського ліцею № 2 по вул. м. Лисенка, 24 в м. Коломиї</t>
  </si>
  <si>
    <t>3117363</t>
  </si>
  <si>
    <t>Капітальний ремонт дорожнього покриття вул. Шкрумеляка в м. Коломиї Івано-Франківської області</t>
  </si>
  <si>
    <t>Капітальний ремонт дорожнього і тротуарного покриття по вул. Винниченка в м. Коломиї Івано-Франківської області</t>
  </si>
  <si>
    <t>Капітальний ремонт дорожнього і тротуарного покриття вул. Чайковського в м. Коломиї Івано-Франківської області</t>
  </si>
  <si>
    <t>Начальник управління фінансів і внутрішнього аудиту</t>
  </si>
  <si>
    <t>Ольга ГАВДУНИК</t>
  </si>
  <si>
    <t>Субвенція обласному бюджету :</t>
  </si>
  <si>
    <t>Капітальний ремонт каналізаційних мереж</t>
  </si>
  <si>
    <t>Затверджений план на 2024 рік</t>
  </si>
  <si>
    <t>Уточнений план на 2024 рік</t>
  </si>
  <si>
    <t>План на січень 2024 року</t>
  </si>
  <si>
    <t>01.02.2024 р.</t>
  </si>
  <si>
    <t>Нове будівництво малого групового  будинку по  вул. Маковея в місті Коломиї (коригування)</t>
  </si>
  <si>
    <t xml:space="preserve">На Програму "Сприяння розвитку та зміцнення матеріальної бази військових частин на період 2024 рік" </t>
  </si>
  <si>
    <t>На Програму "Фінансове забезпечення взаємодії Коломийської міської ради та Івано-Франківської квартирно-експлуатаційної частини району на 2022-2024 роки"</t>
  </si>
  <si>
    <t>Капітальний ремонт території Коломийського ліцею № 8 Коломийської міської ради Івано-Франківської області, за адресою: м. Коломия, вул. Коновальця, будинок 10</t>
  </si>
  <si>
    <t>Капітальний ремонт частини будівлі для облаштування притулку для осіб, які постраждали від домашнього насильства та/або насильства за ознакою статі за адресою: вулиця Шкільна, 34а, село Товмачик, Коломийський район, Івано-Франківська область</t>
  </si>
  <si>
    <t>Реконструкція будівлі під соціальний комплекс для вразливих категорій населення (внутрішньо переміщених (евакуйованих осіб))по вул. Симона Петлюри, 24 в м. Коломия, Івано-Франківська область</t>
  </si>
  <si>
    <t xml:space="preserve">Реконструкція приміщення для облаштування місць тимчасового перебування ВПО по вулиці Гетьманська, 5 м. Коломия, Івано-Франківська область </t>
  </si>
  <si>
    <t>Капітальний ремонт системи опалення в КЗ ПКМ "Народний дім"</t>
  </si>
  <si>
    <t>Капітальний ремонт вул. Кобилянської в м. Коломиї. Коригування</t>
  </si>
  <si>
    <t>Капітальний ремонт дорожнього покриття вул.Едельвейсів в місті Коломиї</t>
  </si>
  <si>
    <t>Капітальний ремонт дорожнього покриття від будинку № 391 по вул.Довбуша в м. Коломиї до автомобільної дороги загального користування Н-10 Стрий - Івано-Франківськ - Чернівці - Мамалига</t>
  </si>
  <si>
    <t xml:space="preserve">Капітальний ремонт  вул. Русина в м. Коломиї </t>
  </si>
  <si>
    <t xml:space="preserve">Капітальний ремонт вул. І.Шарлая в м. Коломиї </t>
  </si>
  <si>
    <t>Капітальний ремонт дорожнього покриття від моста через р. Прут на автомобільній дорозі загального користування 0090701 сполученням Корнич-Завалля до с.Грушів</t>
  </si>
  <si>
    <t>Капітальний ремонт дитячого майданчика по вул.Січових Стрільців,23 в м.Коломиї</t>
  </si>
  <si>
    <t>Капітальний ремонт дитячого майданчика по вул.Січових Стрільців,33 в м.Коломиї</t>
  </si>
  <si>
    <t>Капітальний ремонт дитячого майданчика по вул.Маковея,8 в м.Коломиї</t>
  </si>
  <si>
    <t>Капітальний ремонт дитячого майданчика по вул.Мазепи,248 в м.Коломиї</t>
  </si>
  <si>
    <t>Капітальний ремонт дитячого майданчика по вул.Петлюри,42 в м.Коломиї</t>
  </si>
  <si>
    <t>Капітальний ремонт дитячого майданчика по вул.Лисенка,38 в м.Коломиї</t>
  </si>
  <si>
    <t>Капітальний ремонт автобусної зупинки по вул.Косачівській, 6 в м.Коломиї</t>
  </si>
  <si>
    <t>Капітальний ремонт автобусної зупинки по вул. Мазепи, 296 в м.Коломиї</t>
  </si>
  <si>
    <t>Капітальний ремонт автобусної зупинки по вул. Мазепи, 305 в м.Коломиї</t>
  </si>
  <si>
    <t>Капітальний ремонт автобусної зупинки в  с. Товмачик</t>
  </si>
  <si>
    <t>На Програму "Благоустрій Коломийської міської територіальної громади на 2021-2025роки"</t>
  </si>
  <si>
    <t>Нове будівництво мостового переходу на автомобільній дорозі О090701 Корнич-Завалля км 2+814 через річку Прут в селі Корнич, Коломийського району, Івано - Франківської області</t>
  </si>
  <si>
    <t>Нове будівництво пішохідного переходу та лівосторонньої дамби укріплення берега через річку Прут від вулиці Лесі Українки до правого берега річки у селі Іванівці, Коломийського району, Івано - Франківської області</t>
  </si>
  <si>
    <t>Реконструкція спортивного комплексу на вул. Ольги Кобилянської, 8-А в м.Коломиї Івано-Франківської області</t>
  </si>
  <si>
    <t>Нове будівництво модульної котельні із заміною котлів Коломийського ліцею №1 імені Василя Стефаника Коломийської міської ради, за адресою: вулиця Карпатська,75, місто Коломия, Івано-Франківська область</t>
  </si>
  <si>
    <t>Капітальний ремонт системи опалення Коломийського закладу дошкільної освіти (ясла-садок) комбінованого типу №2 "Дударик" Коломийської міської ради за адресою: Івано-Франківська область, м. Коломия, вул. Сніжна,1</t>
  </si>
  <si>
    <t>Капітальний ремонт системи опалення Коломийського закладу дошкільної освіти (ясла-садок) №3 "Берізка" Коломийської міської ради, за адресою: Івано-Франківська область, м. Коломия, вул. Гната Ковцуняка,1-в</t>
  </si>
  <si>
    <t>Капітальний ремонт системи опалення Коломийського закладу дошкільної освіти (ясла-садок) №5 "Барвінок" Коломийської міської ради, за адресою: Івано-Франківська область, м. Коломия, вул.Карпатська, 40 б</t>
  </si>
  <si>
    <t>Капітальний ремонт системи опалення Коломийського закладу дошкільної освіти (ясла-садок) №7 "Росинка" Коломийської міської ради, за адресою: Івано-Франківська область, м. Коломия, вул.Дмитра Яворницького,9</t>
  </si>
  <si>
    <t>Капітальний ремонт системи опалення Коломийського закладу дошкільної освіти (ясла-садок) №14 "Світанок" Коломийської міської ради, за адресою: Івано-Франківська область, м. Коломия, вул.Миколи Лисенка, 9</t>
  </si>
  <si>
    <t>Капітальний ремонт системи опалення будівлі закладу дошкільної освіти (ясла-садок) №21 "Пролісок" на вул.Леонтовича,12 у м. Коломиї Івано-Франківської області</t>
  </si>
  <si>
    <t>Капітальний ремонт системи опалення Коломийського ліцею №4 імені Сергія Лисенка Коломийської міської ради, за адресою: Івано-Франківська область, м. Коломия, вул.Марії Заньковецької,11</t>
  </si>
  <si>
    <t>Капітальний ремонт системи опалення (заміна котлів) Коломийської гімназії №7 філії Коломийського ліцею №5 імені Т.Шевченка Коломийської міської ради, за адресою: Івано-Франківська область, м. Коломия, вул. Карпатська,74</t>
  </si>
  <si>
    <t>Капітальний ремонт системи опалення Коломийського ліцею №8 Коломийської міської ради, за адресою: Івано-Франківська область, м. Коломия, вул.Євгена Коновальця,10,11</t>
  </si>
  <si>
    <t>Капітальний ремонт системи опалення Коломийського ліцею №9 Коломийської міської ради, за адресою: Івано-Франківська область, м. Коломия, вул.Михайла Драгоманова,1</t>
  </si>
  <si>
    <t>Реконструкція системи водовідведення на кладовищі по вул. Довбуша, 420</t>
  </si>
  <si>
    <t>Реконструкція площі в межах вулиць Симона Петлюри, Івана Франка та Січових Стрільців у місті Коломиї</t>
  </si>
  <si>
    <t>Реконструкція тиру під укриття- тир по вул.Міцкевича №3 у м. Коломия</t>
  </si>
  <si>
    <t>Реконструкція нежитлового приміщення на вулиці Лесі Українки, 37 в місті Коломиї Івано-Франківської області</t>
  </si>
  <si>
    <t>Реконструкція нежитлового приміщення на вулиці Мазепи,262 в місті Коломиї Івано-Франківської області</t>
  </si>
  <si>
    <t xml:space="preserve">Реконструкція нежитлової будівлі по проспекту М.Грушевського,1б в місті Коломиї </t>
  </si>
  <si>
    <t>Реконструкція майстерні (літера «В») під навчальні класи з влаштуванням укриття в Коломийській філії 10 Коломийського ліцею 9 по вул. Січових Стрільців, 30 в м. Коломия, Івано-Франківської області</t>
  </si>
  <si>
    <t>Статутний капітал "Коломийський центр туризму та дозвілля"</t>
  </si>
  <si>
    <t>На Програму "Розвиток земельних відносин на 2021 - 2025 роки"</t>
  </si>
  <si>
    <t xml:space="preserve">Разом по бюджету розвитку за 2024 рік </t>
  </si>
  <si>
    <t>Разом по бюджету розвитку за 2024 рік + вільний залишок на 01.01.2024р.</t>
  </si>
  <si>
    <t>Разом по бюджету розвитку за 2024 рік + субвенції + гаран.зобов.</t>
  </si>
  <si>
    <t xml:space="preserve">Перелік об'єктів, видатки на які у 2024 році будуть проводитись   </t>
  </si>
  <si>
    <t xml:space="preserve">Капітальний ремонт системи опалення корпусу № 2 Коломийської філії № 10 Коломийського ліцею № 9 Коломийської міської ради Івано - Франківської області </t>
  </si>
  <si>
    <t>Капітальний ремонт спортивного майданчика по вул. Достоєвського в м. Коломиї</t>
  </si>
  <si>
    <t>Капітальний ремонт проїзду до озера в парку ім. Т. Шевченка в м. Коломиї</t>
  </si>
  <si>
    <t xml:space="preserve">Капітальний ремонт пішохідних доріжок біля озера в парку ім. Т. Шевченка в м. Коломиї </t>
  </si>
  <si>
    <t>Капітальний ремонт вуличного освітлення біля озера в парку ім.Т.Шевченка в м.Коломиї</t>
  </si>
  <si>
    <t>Нове будівництво пішохідного мостового переходу через річку Прут від вулиці Лесі Українки до правого берега річки у селі Іванівці, Коломийського району, Івано - Франківської області</t>
  </si>
  <si>
    <t>Нове будівництво спортивної споруди Елінгу  по вул. Івана Новодворського в м. Коломиї, Івано - Франківської області</t>
  </si>
  <si>
    <t>Нове будівництво спортивного залу на вул. Ольги Кобилянської, 8-А у м. Коломиї, Івано - Франківської області</t>
  </si>
  <si>
    <t>Нове будівництво модульної котельні із заміною котлів Коломийського ліцею №1 імені Василя Стефаника Коломийської міської ради, за адресою: вулиця Міцкевича, 3, місто Коломия, Івано-Франківська область</t>
  </si>
  <si>
    <t>Капітальний ремонт нежитлового приміщення на вулиці Січових Стрільців, 4 в місті Коломиї</t>
  </si>
  <si>
    <t>Капітальний ремонт нежитлового приміщення на вулиці Мазепи, 4 в місті Коломиї</t>
  </si>
  <si>
    <t>Капітальний ремонт даху центру надання адміністративних послуг за адресою: площа Привокзальна, 2А/1, місто Коломия, Івано - Франківська область</t>
  </si>
  <si>
    <t>Капітальний ремонт фасаду Коломийського ліцею №5 імені Т.Шевченка, по проспекту Грушевського,64 в м.Коломия Івано-Франківської області</t>
  </si>
  <si>
    <t>Капітальний ремонт споруди цивільного захисту  Коломийського ліцею №5 імені Т.Шевченка Коломийської міської ради Івано-Франківської області</t>
  </si>
  <si>
    <t>Капітальний ремонт фасаду Коломийської гімназії №7 філії Коломийського ліцею №5 імені Т.Шевченка на вул.Карпатська,74 в м.Коломиї Івано - Франківської області</t>
  </si>
  <si>
    <t>Капітальний ремонт споруди цивільного захисту Коломийського ліцею №9 Коломийської міської ради Івано-Франківської області</t>
  </si>
  <si>
    <t>Капітальний ремонт частини будівлі та території по вулиці Шкільна, 34а, в с. Товмачик, Коломийського району, Івано-Франківської області</t>
  </si>
  <si>
    <t>"Нове будівництво спортивного залу та майстерень Коломийського НВК №9 «Школа-природничо-математичний ліцей» по вул.М.Драгоманова, 1 в м.Коломиї Івано-Франківської області. Коригування РП"</t>
  </si>
  <si>
    <t>"Нове будівництво модульного спортивного залу КУ "Молодіжний центр" в с. Королівка по вул. Спортивна, Коломийського району, Івано - Франківської області" (коригування 2)</t>
  </si>
  <si>
    <t>Капітальний ремонт тротуарів по вул. Мазепи від буд. №303Б до буд. №305 та від буд. №300 до межі міста в місті Коломиї</t>
  </si>
  <si>
    <t>Капітальний ремонт нежитлового приміщення з заміною віконних та дверних блоків на вулиці Січових Стрільців, 4 в місті Коломиї</t>
  </si>
  <si>
    <t>Проведення заходів для боротьби з шкідливою дією вод на р.Прут в районі пішохідного моста в с. Воскресинці (капітальний ремонт)</t>
  </si>
  <si>
    <t xml:space="preserve"> спеціального фонду міського бюджету, який склався станом на 01.01.2024 року</t>
  </si>
  <si>
    <t>Субвенція обласному бюджету:</t>
  </si>
  <si>
    <t xml:space="preserve">субвенції обласному бюджету Івано-Франківської області (Департаменту розвитку громад та територій, дорожнього, житлово-комунального господарства, містобудування та архітектури) для співфінансування робіт з будівництва військових інженерно-технічних і фортифікаційних споруд на території Донецької області </t>
  </si>
  <si>
    <t xml:space="preserve">На Програму "Сприяння розвитку та зміцнення матеріальної бази військових частин на 2024 рік" </t>
  </si>
  <si>
    <t>Капітальний ремонт доріжок та системи водовідведення на кладовищі по вул. Довбуша, 420 в м. Коломиї</t>
  </si>
  <si>
    <t>Нове будівництво укриття на вулиці Карпатській,74 у місті Коломиї</t>
  </si>
  <si>
    <t>Капітальний ремонт системи опалення із проведенням ділянки тепломережі від котельні до Саджавського закладу дошкільної освіти (ясла-садок) "Дударик" Коломийської міської ради за адресою: вулиця Кобилянської, 3А, село Саджавка</t>
  </si>
  <si>
    <t>Реконструкція нежитлового будинку з надбудовою без зміни зовнішніх геометричних розмірів їхніх фундаментів у плані під багатоквартирний житловий будинок по вул. Гетьмана Івана Мазепи, 262 в м. Коломия, Івано-Франківської області</t>
  </si>
  <si>
    <t>0118220</t>
  </si>
  <si>
    <t xml:space="preserve">На Програму "Розвиток Центру військово-патріотичного виховання та допризивної підготовки на 2022-2025 роки" </t>
  </si>
  <si>
    <t>Капітальний ремонт (підготовчі роботи) на території ліцею № 1 ім. Василя Стефаника Коломийської міської ради Івано - Франківської області по вул. Міцкевича, 3 у м. Коломиї</t>
  </si>
  <si>
    <t>Капітальний ремонт  дорожнього та тротуарного покриття  з влаштуванням транспортної розв’язки в одному рівні на перехресті вулиць С.Петлюри-С. Стрільців-Л.Українки-В.Чорновола- І.Франка у м. Коломиї  Івано-Франківської обл.</t>
  </si>
  <si>
    <t>Капітальний ремонт дорожнього та тротуарного покриття вул.С.Петлюри в м. Коломиї  Івано-Франківської обл.</t>
  </si>
  <si>
    <t>Капітальний ремонт дорожнього та тротуарного покриття вул.С.Стрільців в м. Коломиї  Івано-Франківської обл.</t>
  </si>
  <si>
    <t>Капітальний ремонт дорожнього покриття (під'їзних шляхів) з села Грушів до гори Юрів села Воскресинці</t>
  </si>
  <si>
    <t>Капітальний ремонт  пішохідних доріжок в парку ім. Т.Шевченка в м. Коломиї</t>
  </si>
  <si>
    <t>Капітальний ремонт території скверу по вул. Атаманюка до берегоукріплення р. Прут в місті Коломиї</t>
  </si>
  <si>
    <t>Капітальний ремонт території прилеглої до вул. Аркаса в місті коломиї</t>
  </si>
  <si>
    <t>Нове будівництво баскетбольного майданчика на пр.Грушевського,64 в м.Коломиї</t>
  </si>
  <si>
    <t>Нове будівництво спортивного майданчика на вул.І.Мазепи,132А в м.Коломиї</t>
  </si>
  <si>
    <t>Капітальний ремонт нежитлової будівлі на вулиці В'ячеслава Чорновола, 55 в місті Коломиї</t>
  </si>
  <si>
    <t>Капітальний ремонт системи опалення Коломийського закладу дошкільної освіти (ясла-садок) №3 "Берізка" Коломийської міської ради, за адресою: Івано-Франківська область, м. Коломия, вул. Гната Ковцуняка,1в</t>
  </si>
  <si>
    <t>Капітальний ремонт фасаду  Коломийського закладу дошкільної освіти (ясла-садок) №3 "Берізка" Коломийської міської ради  на вул. Гната Ковцуняка,1в  в м.Коломиї Івано-Франківської області</t>
  </si>
  <si>
    <t>Капітальний ремонт фасаду Коломийського ліцею  №4 імені Сергія Лисенка на вул.Заньковецької, 11 в м.Коломиї Івано-Франківської області</t>
  </si>
  <si>
    <t>Капітальний ремонт протирадіаційного укриття №35529 Коломийського академічного обласного українського драматичного театру імені Івана Озаркевича на площі Вічевий Майдан,7 в м.Коломия</t>
  </si>
  <si>
    <t xml:space="preserve">Реконструкція майстерень під укриття на вулиці Карпатській,74 у місті Коломиї </t>
  </si>
  <si>
    <r>
      <t>Реконструкція  з надбудовою</t>
    </r>
    <r>
      <rPr>
        <b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нежитлового приміщення на вулиці Мазепи, 4 в місті Коломиї</t>
    </r>
  </si>
  <si>
    <t>Внески до статутного капіталу для КП "Коломияводоканал"</t>
  </si>
  <si>
    <t>Внески до статутного капіталу для КП "Коломиятеплосервіс"</t>
  </si>
  <si>
    <t>Капітальний ремонт берегоукріплення та регулювання русла річки Саджавочка в селі Саджавка, Надвірнянського району, Івано - Франківської області</t>
  </si>
  <si>
    <t xml:space="preserve">Реконструкція берегоукріплення лівого берега р. Прут від моста на с. Н.Вербіж до парку ім. Т.Шевченка в м. Коломиї  </t>
  </si>
  <si>
    <t>Капітальний ремонт зовнішніх каналізаційних та дощових мереж на території Коломийського ліцею "Коломийська гімназія імені Михайла Грушевського" Коломийської міської ради Івано - Франківської області по вул. Івана Франка, 19 в м. Коломиї</t>
  </si>
  <si>
    <t>Капітальний ремонт по заміні внутрішньої системи та теплотраси до паливної  Івановецької філії ім.Михайла Вишиванюка Коломиського ліцею № 8 по вул.Центральна  буд.16 в с.Іванівці Коломийського району Івано-Франківської області</t>
  </si>
  <si>
    <t>Капітальний ремонт спортивної зали Івановецької філії ім. Михайла Вишиванюка Коломийського ліцею №8 по вул. Центральна буд.16 в с. Іванівці Коломийського району Івано - Франківської області</t>
  </si>
  <si>
    <t>Капітальний  ремонт  по заміні внутрішньої системи та теплотраси до паливної  Товмачицької  філії  Коломиського ліцею № 8 по вул. Івана Франка буд.1 в с.Товмачик Коломийського району Івано-Франківської області</t>
  </si>
  <si>
    <t>Капітальний ремонт санвузлів Коломиського ліцею № 8 по вул.Коновальця буд.10 в м. Коломия  Івано-Франківської області</t>
  </si>
  <si>
    <t>0617321</t>
  </si>
  <si>
    <t>Нове будівництво спортивного майданчика на території Коломийської філії №3 Коломийського ліцею №4 імені Сергія Лисенка по вул. І. Мазепи, 132 А в м. Коломия, Івано - Франківської області</t>
  </si>
  <si>
    <t>Будівництво спортивного майданчика на території Коломийського ліцею № 5 імені Т. Г. Шевченка на проспекті Михайла Грушевського, 64 в м. Коломия, Івано - Франківської області</t>
  </si>
  <si>
    <t xml:space="preserve">Нове будівництво транспортабельної модульної котельні Коломийської філії № 20 Коломийського ліцею № 4 ім. Сергія Лисенка Коломийської міської ради Івано-Франківської області по вул. Маковея,16а  у м. Коломия Івано-Франківської області </t>
  </si>
  <si>
    <t>0817370</t>
  </si>
  <si>
    <t>Капітальний ремонт частини приміщення для облаштування центру життєстійкості за адресою: м. Коломия, вул. Гетьмана І. Мазепи, 4</t>
  </si>
  <si>
    <t>1017324</t>
  </si>
  <si>
    <t>Нове будівництво транспортабельної модульної котельні КЗ "Коломийська музична школа №2 імені Г. Грабець" на вул. Чайковського, 22, м. Коломия Івано - Франківської області</t>
  </si>
  <si>
    <t>Капітальний ремонт  фасаду нежитлового приміщення за адресою: вулиця Шкільна,34А, с. Товмачик, Коломийського району Івано-Франківської області</t>
  </si>
  <si>
    <t>Капітальний ремонт  фасаду будівлі закладу дошкільної освіти (ясла-садок) № 9«Веселка» Коломийської міської ради Івано-Франківської області за адресою: вулиця Гординського,5А,  місто Коломия</t>
  </si>
  <si>
    <t>Капітальний ремонт системи опалення будівлі ЗДО №21 "Пролісок" на вул.Леонтовича,12 у м. Коломиї Івано-Франківської області</t>
  </si>
  <si>
    <t>Капітальний ремонт  системи опалення із проведенням ділянки тепломережі від котельні до Саджавського ліцею Коломийської міської ради по вул.Українській,77а в с. Саджавка Надвірнянського району Івано - Франківської області</t>
  </si>
  <si>
    <t>Капітальний ремонт  фасаду та покрівлі будівлі Саджавського закладу дошкільної освіти (ясла-садок) «Дударик» Коломийської міської ради за адресою: вул.Кобилянської, 3А,  с. Саджавка, Надвірнянського району Івано-Франківської області</t>
  </si>
  <si>
    <t>Капітальний ремонт  фасаду та покрівлі будівлі Корницького закладу дошкільної освіти (ясла-садок) «Калина» Коломийської міської ради Івано-Франківської області за адресою: вул. Перемоги,26,  с.Корнич, Коломийського району Івано-Франківської області</t>
  </si>
  <si>
    <t>Капітальний ремонт берегоукріплення та регулювання русла річки Слобушниця в селі Саджавка, Надвірнянського району, Івано-Франківської області</t>
  </si>
  <si>
    <t>План на січень - червень 2024 року</t>
  </si>
  <si>
    <t>Касові на 01.07.2024 року</t>
  </si>
  <si>
    <t>% викон. факту до плану</t>
  </si>
  <si>
    <r>
      <t>Разом по бюджету розвитку за 2024 рік +</t>
    </r>
    <r>
      <rPr>
        <b/>
        <sz val="14"/>
        <color indexed="60"/>
        <rFont val="Times New Roman"/>
        <family val="1"/>
        <charset val="204"/>
      </rPr>
      <t xml:space="preserve"> Вільний залишок БЮДЖЕТУ РОЗВИТКУ на 01.01.2024р.</t>
    </r>
    <r>
      <rPr>
        <b/>
        <sz val="14"/>
        <color indexed="55"/>
        <rFont val="Times New Roman"/>
        <family val="1"/>
        <charset val="204"/>
      </rPr>
      <t xml:space="preserve"> </t>
    </r>
    <r>
      <rPr>
        <b/>
        <sz val="18"/>
        <color indexed="60"/>
        <rFont val="Times New Roman"/>
        <family val="1"/>
        <charset val="204"/>
      </rPr>
      <t>(3 533,96 грн.)</t>
    </r>
  </si>
  <si>
    <r>
      <t xml:space="preserve">(в т.ч. вільний залишок с.ф. - бюджету розвитку - </t>
    </r>
    <r>
      <rPr>
        <b/>
        <sz val="22"/>
        <color indexed="60"/>
        <rFont val="Times New Roman"/>
        <family val="1"/>
        <charset val="204"/>
      </rPr>
      <t>3 533,96 грн.</t>
    </r>
    <r>
      <rPr>
        <b/>
        <sz val="18"/>
        <color indexed="60"/>
        <rFont val="Times New Roman"/>
        <family val="1"/>
        <charset val="204"/>
      </rPr>
      <t>)</t>
    </r>
  </si>
  <si>
    <t>(вільний залишок БЮДЖЕТУ РОЗВИТКУ спрямовано на цей обєкт в сумі - 3533,96 грн.)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</si>
</sst>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78" x14ac:knownFonts="1">
    <font>
      <sz val="11"/>
      <color rgb="FF000000"/>
      <name val="Calibri"/>
      <family val="2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indexed="45"/>
      <name val="Calibri"/>
      <family val="2"/>
      <charset val="204"/>
    </font>
    <font>
      <sz val="10"/>
      <color indexed="55"/>
      <name val="Calibri"/>
      <family val="2"/>
      <charset val="204"/>
    </font>
    <font>
      <sz val="11"/>
      <name val="Calibri"/>
      <family val="2"/>
      <charset val="204"/>
    </font>
    <font>
      <sz val="10"/>
      <color indexed="55"/>
      <name val="Times New Roman"/>
      <family val="1"/>
      <charset val="204"/>
    </font>
    <font>
      <sz val="11"/>
      <color indexed="55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indexed="55"/>
      <name val="Times New Roman"/>
      <family val="1"/>
      <charset val="204"/>
    </font>
    <font>
      <b/>
      <sz val="12"/>
      <color indexed="55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55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6"/>
      <color indexed="55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4"/>
      <color indexed="55"/>
      <name val="Calibri"/>
      <family val="2"/>
      <charset val="204"/>
    </font>
    <font>
      <sz val="14"/>
      <color indexed="55"/>
      <name val="Times New Roman"/>
      <family val="1"/>
      <charset val="204"/>
    </font>
    <font>
      <sz val="14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indexed="55"/>
      <name val="Calibri"/>
      <family val="2"/>
      <charset val="204"/>
    </font>
    <font>
      <b/>
      <u/>
      <sz val="12"/>
      <name val="Times New Roman"/>
      <family val="1"/>
      <charset val="204"/>
    </font>
    <font>
      <b/>
      <sz val="12"/>
      <color indexed="55"/>
      <name val="Calibri"/>
      <family val="2"/>
      <charset val="204"/>
    </font>
    <font>
      <b/>
      <sz val="11"/>
      <color indexed="55"/>
      <name val="Times New Roman"/>
      <family val="1"/>
      <charset val="204"/>
    </font>
    <font>
      <sz val="14"/>
      <color indexed="55"/>
      <name val="Calibri"/>
      <family val="2"/>
      <charset val="204"/>
    </font>
    <font>
      <b/>
      <sz val="16"/>
      <color indexed="55"/>
      <name val="Times New Roman"/>
      <family val="1"/>
      <charset val="204"/>
    </font>
    <font>
      <b/>
      <sz val="16"/>
      <color indexed="55"/>
      <name val="Calibri"/>
      <family val="2"/>
      <charset val="204"/>
    </font>
    <font>
      <i/>
      <sz val="12"/>
      <color indexed="55"/>
      <name val="Times New Roman"/>
      <family val="1"/>
      <charset val="204"/>
    </font>
    <font>
      <i/>
      <sz val="11"/>
      <color indexed="55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8"/>
      <color indexed="45"/>
      <name val="Times New Roman"/>
      <family val="1"/>
      <charset val="204"/>
    </font>
    <font>
      <b/>
      <u/>
      <sz val="14"/>
      <color indexed="55"/>
      <name val="Times New Roman"/>
      <family val="1"/>
      <charset val="204"/>
    </font>
    <font>
      <b/>
      <sz val="16"/>
      <color indexed="45"/>
      <name val="Times New Roman"/>
      <family val="1"/>
      <charset val="204"/>
    </font>
    <font>
      <b/>
      <i/>
      <sz val="12"/>
      <color indexed="55"/>
      <name val="Times New Roman"/>
      <family val="1"/>
      <charset val="204"/>
    </font>
    <font>
      <b/>
      <i/>
      <sz val="14"/>
      <color indexed="55"/>
      <name val="Times New Roman"/>
      <family val="1"/>
      <charset val="204"/>
    </font>
    <font>
      <b/>
      <sz val="18"/>
      <color indexed="55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6"/>
      <color indexed="55"/>
      <name val="Calibri"/>
      <family val="2"/>
      <charset val="204"/>
    </font>
    <font>
      <sz val="7"/>
      <name val="Times New Roman"/>
      <family val="1"/>
      <charset val="204"/>
    </font>
    <font>
      <b/>
      <sz val="18"/>
      <color indexed="31"/>
      <name val="Times New Roman"/>
      <family val="1"/>
      <charset val="204"/>
    </font>
    <font>
      <b/>
      <sz val="14"/>
      <color indexed="31"/>
      <name val="Times New Roman"/>
      <family val="1"/>
      <charset val="204"/>
    </font>
    <font>
      <b/>
      <sz val="14"/>
      <color indexed="45"/>
      <name val="Times New Roman"/>
      <family val="1"/>
      <charset val="204"/>
    </font>
    <font>
      <sz val="11"/>
      <name val="Times New Roman"/>
      <family val="1"/>
      <charset val="204"/>
    </font>
    <font>
      <b/>
      <sz val="20"/>
      <color indexed="45"/>
      <name val="Times New Roman"/>
      <family val="1"/>
      <charset val="204"/>
    </font>
    <font>
      <sz val="12"/>
      <name val="Times New Roman"/>
      <family val="1"/>
    </font>
    <font>
      <i/>
      <sz val="14"/>
      <color indexed="55"/>
      <name val="Times New Roman"/>
      <family val="1"/>
      <charset val="204"/>
    </font>
    <font>
      <sz val="14"/>
      <color indexed="55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color indexed="55"/>
      <name val="Times New Roman"/>
      <family val="1"/>
      <charset val="204"/>
    </font>
    <font>
      <sz val="12"/>
      <color indexed="55"/>
      <name val="Times New Roman"/>
      <family val="1"/>
      <charset val="204"/>
    </font>
    <font>
      <b/>
      <sz val="12"/>
      <color indexed="55"/>
      <name val="Times New Roman"/>
      <family val="1"/>
      <charset val="204"/>
    </font>
    <font>
      <sz val="14"/>
      <color indexed="55"/>
      <name val="Times New Roman"/>
      <family val="1"/>
    </font>
    <font>
      <sz val="12"/>
      <color indexed="55"/>
      <name val="Times New Roman"/>
      <family val="1"/>
    </font>
    <font>
      <sz val="12"/>
      <color indexed="55"/>
      <name val="Times New Roman"/>
      <family val="1"/>
    </font>
    <font>
      <sz val="8"/>
      <name val="Calibri"/>
      <family val="2"/>
      <charset val="204"/>
    </font>
    <font>
      <b/>
      <sz val="10"/>
      <name val="Times New Roman"/>
      <family val="1"/>
      <charset val="204"/>
    </font>
    <font>
      <b/>
      <sz val="14"/>
      <color indexed="60"/>
      <name val="Times New Roman"/>
      <family val="1"/>
      <charset val="204"/>
    </font>
    <font>
      <b/>
      <sz val="18"/>
      <color indexed="60"/>
      <name val="Times New Roman"/>
      <family val="1"/>
      <charset val="204"/>
    </font>
    <font>
      <b/>
      <sz val="22"/>
      <color indexed="6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FF99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rgb="FF800080"/>
      <name val="Calibri"/>
      <family val="2"/>
      <charset val="204"/>
    </font>
    <font>
      <i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FAF46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9211E"/>
      </patternFill>
    </fill>
    <fill>
      <patternFill patternType="solid">
        <fgColor rgb="FF339966"/>
        <bgColor rgb="FF3FAF46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</borders>
  <cellStyleXfs count="64">
    <xf numFmtId="0" fontId="0" fillId="0" borderId="0"/>
    <xf numFmtId="0" fontId="63" fillId="2" borderId="0" applyBorder="0" applyProtection="0"/>
    <xf numFmtId="0" fontId="63" fillId="3" borderId="0" applyBorder="0" applyProtection="0"/>
    <xf numFmtId="0" fontId="63" fillId="4" borderId="0" applyBorder="0" applyProtection="0"/>
    <xf numFmtId="0" fontId="63" fillId="5" borderId="0" applyBorder="0" applyProtection="0"/>
    <xf numFmtId="0" fontId="63" fillId="6" borderId="0" applyBorder="0" applyProtection="0"/>
    <xf numFmtId="0" fontId="63" fillId="7" borderId="0" applyBorder="0" applyProtection="0"/>
    <xf numFmtId="0" fontId="63" fillId="8" borderId="0" applyBorder="0" applyProtection="0"/>
    <xf numFmtId="0" fontId="63" fillId="9" borderId="0" applyBorder="0" applyProtection="0"/>
    <xf numFmtId="0" fontId="63" fillId="10" borderId="0" applyBorder="0" applyProtection="0"/>
    <xf numFmtId="0" fontId="63" fillId="5" borderId="0" applyBorder="0" applyProtection="0"/>
    <xf numFmtId="0" fontId="63" fillId="8" borderId="0" applyBorder="0" applyProtection="0"/>
    <xf numFmtId="0" fontId="63" fillId="11" borderId="0" applyBorder="0" applyProtection="0"/>
    <xf numFmtId="0" fontId="64" fillId="12" borderId="0" applyBorder="0" applyProtection="0"/>
    <xf numFmtId="0" fontId="64" fillId="9" borderId="0" applyBorder="0" applyProtection="0"/>
    <xf numFmtId="0" fontId="64" fillId="10" borderId="0" applyBorder="0" applyProtection="0"/>
    <xf numFmtId="0" fontId="64" fillId="13" borderId="0" applyBorder="0" applyProtection="0"/>
    <xf numFmtId="0" fontId="64" fillId="14" borderId="0" applyBorder="0" applyProtection="0"/>
    <xf numFmtId="0" fontId="64" fillId="15" borderId="0" applyBorder="0" applyProtection="0"/>
    <xf numFmtId="0" fontId="1" fillId="0" borderId="0"/>
    <xf numFmtId="0" fontId="64" fillId="16" borderId="0" applyBorder="0" applyProtection="0"/>
    <xf numFmtId="0" fontId="64" fillId="17" borderId="0" applyBorder="0" applyProtection="0"/>
    <xf numFmtId="0" fontId="64" fillId="18" borderId="0" applyBorder="0" applyProtection="0"/>
    <xf numFmtId="0" fontId="64" fillId="13" borderId="0" applyBorder="0" applyProtection="0"/>
    <xf numFmtId="0" fontId="64" fillId="14" borderId="0" applyBorder="0" applyProtection="0"/>
    <xf numFmtId="0" fontId="64" fillId="19" borderId="0" applyBorder="0" applyProtection="0"/>
    <xf numFmtId="0" fontId="65" fillId="7" borderId="10" applyProtection="0"/>
    <xf numFmtId="0" fontId="66" fillId="20" borderId="11" applyProtection="0"/>
    <xf numFmtId="0" fontId="67" fillId="20" borderId="1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8" fillId="0" borderId="0">
      <alignment vertical="top"/>
    </xf>
    <xf numFmtId="0" fontId="69" fillId="0" borderId="12" applyProtection="0"/>
    <xf numFmtId="0" fontId="70" fillId="21" borderId="13" applyProtection="0"/>
    <xf numFmtId="0" fontId="71" fillId="0" borderId="0" applyBorder="0" applyProtection="0"/>
    <xf numFmtId="0" fontId="72" fillId="22" borderId="0" applyBorder="0" applyProtection="0"/>
    <xf numFmtId="0" fontId="63" fillId="0" borderId="0"/>
    <xf numFmtId="0" fontId="1" fillId="0" borderId="0"/>
    <xf numFmtId="0" fontId="3" fillId="0" borderId="0"/>
    <xf numFmtId="0" fontId="3" fillId="0" borderId="0"/>
    <xf numFmtId="0" fontId="73" fillId="3" borderId="0" applyBorder="0" applyProtection="0"/>
    <xf numFmtId="0" fontId="74" fillId="0" borderId="0" applyBorder="0" applyProtection="0"/>
    <xf numFmtId="0" fontId="63" fillId="23" borderId="14" applyProtection="0"/>
    <xf numFmtId="0" fontId="75" fillId="0" borderId="15" applyProtection="0"/>
    <xf numFmtId="0" fontId="4" fillId="0" borderId="0"/>
    <xf numFmtId="0" fontId="76" fillId="0" borderId="0" applyBorder="0" applyProtection="0"/>
    <xf numFmtId="0" fontId="77" fillId="4" borderId="0" applyBorder="0" applyProtection="0"/>
  </cellStyleXfs>
  <cellXfs count="378">
    <xf numFmtId="0" fontId="0" fillId="0" borderId="0" xfId="0"/>
    <xf numFmtId="0" fontId="21" fillId="0" borderId="1" xfId="0" applyFont="1" applyFill="1" applyBorder="1" applyAlignment="1">
      <alignment wrapText="1"/>
    </xf>
    <xf numFmtId="49" fontId="21" fillId="0" borderId="1" xfId="0" applyNumberFormat="1" applyFont="1" applyFill="1" applyBorder="1" applyAlignment="1">
      <alignment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165" fontId="21" fillId="0" borderId="1" xfId="48" applyNumberFormat="1" applyFont="1" applyFill="1" applyBorder="1" applyAlignment="1">
      <alignment horizontal="left" vertical="center" wrapText="1"/>
    </xf>
    <xf numFmtId="4" fontId="14" fillId="0" borderId="1" xfId="48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165" fontId="22" fillId="0" borderId="1" xfId="48" applyNumberFormat="1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vertical="center" wrapText="1"/>
    </xf>
    <xf numFmtId="4" fontId="12" fillId="0" borderId="1" xfId="48" applyNumberFormat="1" applyFont="1" applyFill="1" applyBorder="1" applyAlignment="1">
      <alignment horizontal="center" vertical="center" wrapText="1"/>
    </xf>
    <xf numFmtId="2" fontId="22" fillId="0" borderId="1" xfId="0" applyNumberFormat="1" applyFont="1" applyFill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left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wrapText="1"/>
    </xf>
    <xf numFmtId="4" fontId="12" fillId="0" borderId="1" xfId="48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0" xfId="0" applyNumberFormat="1" applyFont="1" applyFill="1" applyAlignment="1">
      <alignment wrapText="1"/>
    </xf>
    <xf numFmtId="4" fontId="11" fillId="0" borderId="3" xfId="48" applyNumberFormat="1" applyFont="1" applyFill="1" applyBorder="1" applyAlignment="1">
      <alignment horizontal="center" vertical="center"/>
    </xf>
    <xf numFmtId="4" fontId="17" fillId="0" borderId="1" xfId="48" applyNumberFormat="1" applyFont="1" applyFill="1" applyBorder="1" applyAlignment="1">
      <alignment horizontal="center" vertical="center"/>
    </xf>
    <xf numFmtId="165" fontId="11" fillId="0" borderId="1" xfId="48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0" fillId="0" borderId="0" xfId="0" applyFill="1"/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right"/>
    </xf>
    <xf numFmtId="0" fontId="2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left" vertical="center" wrapText="1"/>
    </xf>
    <xf numFmtId="4" fontId="23" fillId="0" borderId="1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left" vertical="center" wrapText="1"/>
    </xf>
    <xf numFmtId="0" fontId="24" fillId="0" borderId="0" xfId="0" applyFont="1" applyFill="1"/>
    <xf numFmtId="49" fontId="25" fillId="0" borderId="1" xfId="0" applyNumberFormat="1" applyFont="1" applyFill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26" fillId="0" borderId="0" xfId="0" applyFont="1" applyFill="1"/>
    <xf numFmtId="0" fontId="11" fillId="0" borderId="1" xfId="0" applyFont="1" applyFill="1" applyBorder="1" applyAlignment="1">
      <alignment wrapText="1"/>
    </xf>
    <xf numFmtId="3" fontId="14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 wrapText="1"/>
    </xf>
    <xf numFmtId="49" fontId="18" fillId="0" borderId="4" xfId="0" applyNumberFormat="1" applyFont="1" applyFill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justify" vertical="center" wrapText="1"/>
    </xf>
    <xf numFmtId="164" fontId="21" fillId="0" borderId="1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justify" vertical="center" wrapText="1"/>
    </xf>
    <xf numFmtId="0" fontId="21" fillId="0" borderId="2" xfId="0" applyFont="1" applyFill="1" applyBorder="1" applyAlignment="1">
      <alignment vertical="center" wrapText="1" shrinkToFit="1"/>
    </xf>
    <xf numFmtId="4" fontId="22" fillId="0" borderId="4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left" vertical="center" wrapText="1"/>
    </xf>
    <xf numFmtId="4" fontId="11" fillId="0" borderId="1" xfId="48" applyNumberFormat="1" applyFont="1" applyFill="1" applyBorder="1" applyAlignment="1">
      <alignment horizontal="center" vertical="center" wrapText="1"/>
    </xf>
    <xf numFmtId="0" fontId="28" fillId="0" borderId="0" xfId="0" applyFont="1" applyFill="1"/>
    <xf numFmtId="0" fontId="29" fillId="0" borderId="4" xfId="0" applyFont="1" applyFill="1" applyBorder="1" applyAlignment="1">
      <alignment horizontal="center" vertical="center" wrapText="1"/>
    </xf>
    <xf numFmtId="4" fontId="16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wrapText="1"/>
    </xf>
    <xf numFmtId="4" fontId="16" fillId="0" borderId="1" xfId="0" applyNumberFormat="1" applyFont="1" applyFill="1" applyBorder="1" applyAlignment="1">
      <alignment horizontal="center" vertical="center" wrapText="1"/>
    </xf>
    <xf numFmtId="0" fontId="30" fillId="0" borderId="0" xfId="0" applyFont="1" applyFill="1"/>
    <xf numFmtId="0" fontId="27" fillId="0" borderId="4" xfId="0" applyFont="1" applyFill="1" applyBorder="1" applyAlignment="1">
      <alignment horizontal="center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left" vertical="center" wrapText="1"/>
    </xf>
    <xf numFmtId="4" fontId="14" fillId="0" borderId="1" xfId="0" applyNumberFormat="1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ill="1" applyBorder="1"/>
    <xf numFmtId="4" fontId="28" fillId="0" borderId="1" xfId="0" applyNumberFormat="1" applyFont="1" applyFill="1" applyBorder="1"/>
    <xf numFmtId="4" fontId="11" fillId="0" borderId="1" xfId="0" applyNumberFormat="1" applyFont="1" applyFill="1" applyBorder="1" applyAlignment="1">
      <alignment horizontal="center" vertical="center"/>
    </xf>
    <xf numFmtId="4" fontId="12" fillId="0" borderId="3" xfId="48" applyNumberFormat="1" applyFont="1" applyFill="1" applyBorder="1" applyAlignment="1">
      <alignment horizontal="center" vertical="center" wrapText="1"/>
    </xf>
    <xf numFmtId="4" fontId="14" fillId="0" borderId="3" xfId="48" applyNumberFormat="1" applyFont="1" applyFill="1" applyBorder="1" applyAlignment="1">
      <alignment horizontal="center" vertical="center" wrapText="1"/>
    </xf>
    <xf numFmtId="4" fontId="14" fillId="0" borderId="1" xfId="48" applyNumberFormat="1" applyFont="1" applyFill="1" applyBorder="1" applyAlignment="1">
      <alignment horizontal="center" vertical="center"/>
    </xf>
    <xf numFmtId="165" fontId="21" fillId="0" borderId="1" xfId="48" applyNumberFormat="1" applyFont="1" applyFill="1" applyBorder="1" applyAlignment="1">
      <alignment horizontal="center" vertical="center"/>
    </xf>
    <xf numFmtId="4" fontId="11" fillId="0" borderId="4" xfId="0" applyNumberFormat="1" applyFont="1" applyFill="1" applyBorder="1" applyAlignment="1">
      <alignment horizontal="center" vertical="center"/>
    </xf>
    <xf numFmtId="1" fontId="18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49" fontId="23" fillId="0" borderId="4" xfId="0" applyNumberFormat="1" applyFont="1" applyFill="1" applyBorder="1" applyAlignment="1">
      <alignment horizontal="center" vertical="center" wrapText="1"/>
    </xf>
    <xf numFmtId="4" fontId="23" fillId="0" borderId="4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vertical="center" wrapText="1"/>
    </xf>
    <xf numFmtId="0" fontId="22" fillId="0" borderId="1" xfId="0" applyFont="1" applyFill="1" applyBorder="1" applyAlignment="1">
      <alignment wrapText="1"/>
    </xf>
    <xf numFmtId="4" fontId="18" fillId="0" borderId="1" xfId="48" applyNumberFormat="1" applyFont="1" applyFill="1" applyBorder="1" applyAlignment="1">
      <alignment horizontal="center" vertical="center" wrapText="1"/>
    </xf>
    <xf numFmtId="4" fontId="16" fillId="0" borderId="1" xfId="48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4" fontId="21" fillId="0" borderId="4" xfId="0" applyNumberFormat="1" applyFont="1" applyFill="1" applyBorder="1" applyAlignment="1">
      <alignment horizontal="center" vertical="center" wrapText="1"/>
    </xf>
    <xf numFmtId="1" fontId="2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1" fontId="0" fillId="0" borderId="1" xfId="0" applyNumberFormat="1" applyFill="1" applyBorder="1"/>
    <xf numFmtId="1" fontId="0" fillId="0" borderId="0" xfId="0" applyNumberFormat="1" applyFill="1" applyAlignment="1">
      <alignment horizontal="center" vertical="center" wrapText="1"/>
    </xf>
    <xf numFmtId="1" fontId="22" fillId="0" borderId="4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 vertical="center"/>
    </xf>
    <xf numFmtId="0" fontId="21" fillId="0" borderId="1" xfId="55" applyFont="1" applyFill="1" applyBorder="1" applyAlignment="1">
      <alignment horizontal="left" vertical="center" wrapText="1"/>
    </xf>
    <xf numFmtId="165" fontId="22" fillId="0" borderId="1" xfId="48" applyNumberFormat="1" applyFont="1" applyFill="1" applyBorder="1" applyAlignment="1">
      <alignment horizontal="left" vertical="center"/>
    </xf>
    <xf numFmtId="4" fontId="53" fillId="0" borderId="1" xfId="48" applyNumberFormat="1" applyFont="1" applyFill="1" applyBorder="1" applyAlignment="1">
      <alignment horizontal="center" vertical="center" wrapText="1"/>
    </xf>
    <xf numFmtId="4" fontId="54" fillId="0" borderId="1" xfId="48" applyNumberFormat="1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wrapText="1"/>
    </xf>
    <xf numFmtId="4" fontId="31" fillId="0" borderId="1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1" fontId="27" fillId="0" borderId="1" xfId="0" applyNumberFormat="1" applyFont="1" applyFill="1" applyBorder="1" applyAlignment="1">
      <alignment horizontal="center" vertical="center" wrapText="1"/>
    </xf>
    <xf numFmtId="4" fontId="13" fillId="0" borderId="1" xfId="48" applyNumberFormat="1" applyFont="1" applyFill="1" applyBorder="1" applyAlignment="1">
      <alignment horizontal="center" vertical="center" wrapText="1"/>
    </xf>
    <xf numFmtId="4" fontId="14" fillId="0" borderId="4" xfId="0" applyNumberFormat="1" applyFont="1" applyFill="1" applyBorder="1" applyAlignment="1">
      <alignment horizontal="center" vertical="center" wrapText="1"/>
    </xf>
    <xf numFmtId="4" fontId="14" fillId="0" borderId="4" xfId="48" applyNumberFormat="1" applyFont="1" applyFill="1" applyBorder="1" applyAlignment="1">
      <alignment horizontal="center" vertical="center" wrapText="1"/>
    </xf>
    <xf numFmtId="4" fontId="12" fillId="0" borderId="4" xfId="0" applyNumberFormat="1" applyFont="1" applyFill="1" applyBorder="1" applyAlignment="1">
      <alignment horizontal="center" vertical="center" wrapText="1"/>
    </xf>
    <xf numFmtId="4" fontId="14" fillId="0" borderId="4" xfId="0" applyNumberFormat="1" applyFont="1" applyFill="1" applyBorder="1" applyAlignment="1">
      <alignment horizontal="center" vertical="center"/>
    </xf>
    <xf numFmtId="1" fontId="27" fillId="0" borderId="3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/>
    <xf numFmtId="1" fontId="15" fillId="0" borderId="3" xfId="0" applyNumberFormat="1" applyFont="1" applyFill="1" applyBorder="1" applyAlignment="1">
      <alignment horizontal="center" vertical="center" wrapText="1"/>
    </xf>
    <xf numFmtId="1" fontId="16" fillId="0" borderId="3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left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/>
    </xf>
    <xf numFmtId="1" fontId="27" fillId="0" borderId="1" xfId="0" applyNumberFormat="1" applyFont="1" applyFill="1" applyBorder="1" applyAlignment="1">
      <alignment horizontal="center" vertical="center"/>
    </xf>
    <xf numFmtId="1" fontId="16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vertical="center" wrapText="1"/>
    </xf>
    <xf numFmtId="4" fontId="11" fillId="0" borderId="4" xfId="48" applyNumberFormat="1" applyFont="1" applyFill="1" applyBorder="1" applyAlignment="1">
      <alignment horizontal="center" vertical="center" wrapText="1"/>
    </xf>
    <xf numFmtId="4" fontId="12" fillId="0" borderId="4" xfId="48" applyNumberFormat="1" applyFont="1" applyFill="1" applyBorder="1" applyAlignment="1">
      <alignment horizontal="center" vertical="center" wrapText="1"/>
    </xf>
    <xf numFmtId="4" fontId="14" fillId="0" borderId="5" xfId="48" applyNumberFormat="1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 wrapText="1"/>
    </xf>
    <xf numFmtId="4" fontId="12" fillId="0" borderId="5" xfId="48" applyNumberFormat="1" applyFont="1" applyFill="1" applyBorder="1" applyAlignment="1">
      <alignment horizontal="center" vertical="center" wrapText="1"/>
    </xf>
    <xf numFmtId="4" fontId="13" fillId="0" borderId="1" xfId="48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justify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3" fontId="14" fillId="0" borderId="5" xfId="48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wrapText="1"/>
    </xf>
    <xf numFmtId="3" fontId="12" fillId="0" borderId="5" xfId="48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3" fontId="14" fillId="0" borderId="1" xfId="48" applyNumberFormat="1" applyFont="1" applyFill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/>
    <xf numFmtId="0" fontId="35" fillId="0" borderId="1" xfId="0" applyFont="1" applyFill="1" applyBorder="1" applyAlignment="1">
      <alignment horizontal="left" vertical="center" wrapText="1"/>
    </xf>
    <xf numFmtId="4" fontId="29" fillId="0" borderId="1" xfId="48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wrapText="1"/>
    </xf>
    <xf numFmtId="0" fontId="22" fillId="0" borderId="1" xfId="55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1" fontId="16" fillId="0" borderId="0" xfId="0" applyNumberFormat="1" applyFont="1" applyFill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" fontId="48" fillId="0" borderId="1" xfId="0" applyNumberFormat="1" applyFont="1" applyFill="1" applyBorder="1" applyAlignment="1">
      <alignment horizontal="center" vertical="center"/>
    </xf>
    <xf numFmtId="1" fontId="25" fillId="0" borderId="1" xfId="0" applyNumberFormat="1" applyFont="1" applyFill="1" applyBorder="1" applyAlignment="1">
      <alignment horizontal="center" vertical="center" wrapText="1"/>
    </xf>
    <xf numFmtId="4" fontId="29" fillId="0" borderId="1" xfId="0" applyNumberFormat="1" applyFont="1" applyFill="1" applyBorder="1" applyAlignment="1">
      <alignment horizontal="center" vertical="center"/>
    </xf>
    <xf numFmtId="1" fontId="23" fillId="0" borderId="1" xfId="0" applyNumberFormat="1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vertical="center"/>
    </xf>
    <xf numFmtId="4" fontId="18" fillId="0" borderId="1" xfId="0" applyNumberFormat="1" applyFont="1" applyFill="1" applyBorder="1" applyAlignment="1">
      <alignment vertical="center" wrapText="1"/>
    </xf>
    <xf numFmtId="1" fontId="0" fillId="0" borderId="1" xfId="0" applyNumberFormat="1" applyFill="1" applyBorder="1" applyAlignment="1">
      <alignment vertical="center"/>
    </xf>
    <xf numFmtId="4" fontId="28" fillId="0" borderId="0" xfId="0" applyNumberFormat="1" applyFont="1" applyFill="1" applyAlignment="1">
      <alignment vertical="center"/>
    </xf>
    <xf numFmtId="1" fontId="12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ill="1"/>
    <xf numFmtId="1" fontId="0" fillId="0" borderId="3" xfId="0" applyNumberFormat="1" applyFill="1" applyBorder="1"/>
    <xf numFmtId="4" fontId="13" fillId="0" borderId="3" xfId="48" applyNumberFormat="1" applyFont="1" applyFill="1" applyBorder="1" applyAlignment="1">
      <alignment horizontal="center"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22" fillId="0" borderId="1" xfId="48" applyNumberFormat="1" applyFont="1" applyFill="1" applyBorder="1" applyAlignment="1">
      <alignment horizontal="left" vertical="center" wrapText="1"/>
    </xf>
    <xf numFmtId="4" fontId="29" fillId="0" borderId="1" xfId="0" applyNumberFormat="1" applyFont="1" applyFill="1" applyBorder="1" applyAlignment="1">
      <alignment horizontal="center" vertical="center" wrapText="1"/>
    </xf>
    <xf numFmtId="4" fontId="16" fillId="0" borderId="1" xfId="53" applyNumberFormat="1" applyFont="1" applyFill="1" applyBorder="1" applyAlignment="1">
      <alignment horizontal="center" vertical="center" wrapText="1"/>
    </xf>
    <xf numFmtId="4" fontId="12" fillId="0" borderId="1" xfId="53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vertical="center" wrapText="1"/>
    </xf>
    <xf numFmtId="4" fontId="21" fillId="0" borderId="1" xfId="0" applyNumberFormat="1" applyFont="1" applyFill="1" applyBorder="1" applyAlignment="1">
      <alignment wrapText="1"/>
    </xf>
    <xf numFmtId="4" fontId="14" fillId="0" borderId="1" xfId="0" applyNumberFormat="1" applyFont="1" applyFill="1" applyBorder="1" applyAlignment="1">
      <alignment horizontal="center" wrapText="1"/>
    </xf>
    <xf numFmtId="1" fontId="35" fillId="0" borderId="1" xfId="0" applyNumberFormat="1" applyFont="1" applyFill="1" applyBorder="1" applyAlignment="1">
      <alignment horizontal="center" vertical="center" wrapText="1"/>
    </xf>
    <xf numFmtId="1" fontId="28" fillId="0" borderId="1" xfId="0" applyNumberFormat="1" applyFont="1" applyFill="1" applyBorder="1"/>
    <xf numFmtId="4" fontId="11" fillId="0" borderId="1" xfId="53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1" fontId="24" fillId="0" borderId="1" xfId="0" applyNumberFormat="1" applyFont="1" applyFill="1" applyBorder="1"/>
    <xf numFmtId="0" fontId="38" fillId="0" borderId="3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wrapText="1"/>
    </xf>
    <xf numFmtId="0" fontId="22" fillId="0" borderId="1" xfId="54" applyFont="1" applyFill="1" applyBorder="1" applyAlignment="1">
      <alignment horizontal="left" vertical="center" wrapText="1"/>
    </xf>
    <xf numFmtId="4" fontId="13" fillId="0" borderId="1" xfId="54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50" fillId="0" borderId="0" xfId="0" applyFont="1" applyFill="1" applyAlignment="1">
      <alignment vertical="center" wrapText="1"/>
    </xf>
    <xf numFmtId="4" fontId="13" fillId="0" borderId="1" xfId="53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51" fillId="0" borderId="1" xfId="0" applyFont="1" applyFill="1" applyBorder="1" applyAlignment="1">
      <alignment horizontal="left" vertical="center" wrapText="1"/>
    </xf>
    <xf numFmtId="4" fontId="14" fillId="0" borderId="1" xfId="53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/>
    </xf>
    <xf numFmtId="1" fontId="27" fillId="0" borderId="4" xfId="0" applyNumberFormat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wrapText="1"/>
    </xf>
    <xf numFmtId="3" fontId="11" fillId="0" borderId="1" xfId="0" applyNumberFormat="1" applyFont="1" applyFill="1" applyBorder="1" applyAlignment="1">
      <alignment horizontal="center" vertical="center"/>
    </xf>
    <xf numFmtId="1" fontId="12" fillId="0" borderId="3" xfId="0" applyNumberFormat="1" applyFont="1" applyFill="1" applyBorder="1" applyAlignment="1">
      <alignment horizontal="center" vertical="center"/>
    </xf>
    <xf numFmtId="1" fontId="13" fillId="0" borderId="3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wrapText="1"/>
    </xf>
    <xf numFmtId="3" fontId="12" fillId="0" borderId="3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3" fontId="11" fillId="0" borderId="1" xfId="48" applyNumberFormat="1" applyFont="1" applyFill="1" applyBorder="1" applyAlignment="1">
      <alignment horizontal="center" vertical="center" wrapText="1"/>
    </xf>
    <xf numFmtId="3" fontId="12" fillId="0" borderId="1" xfId="48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/>
    <xf numFmtId="1" fontId="9" fillId="0" borderId="4" xfId="0" applyNumberFormat="1" applyFont="1" applyFill="1" applyBorder="1"/>
    <xf numFmtId="0" fontId="50" fillId="0" borderId="1" xfId="0" applyFont="1" applyFill="1" applyBorder="1" applyAlignment="1">
      <alignment vertical="center" wrapText="1"/>
    </xf>
    <xf numFmtId="4" fontId="48" fillId="0" borderId="1" xfId="0" applyNumberFormat="1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vertical="center" wrapText="1"/>
    </xf>
    <xf numFmtId="0" fontId="55" fillId="0" borderId="1" xfId="0" applyFont="1" applyFill="1" applyBorder="1" applyAlignment="1">
      <alignment vertical="center" wrapText="1"/>
    </xf>
    <xf numFmtId="4" fontId="56" fillId="0" borderId="1" xfId="48" applyNumberFormat="1" applyFont="1" applyFill="1" applyBorder="1" applyAlignment="1">
      <alignment horizontal="center" vertical="center" wrapText="1"/>
    </xf>
    <xf numFmtId="4" fontId="57" fillId="0" borderId="1" xfId="0" applyNumberFormat="1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vertical="center" wrapText="1"/>
    </xf>
    <xf numFmtId="3" fontId="14" fillId="0" borderId="1" xfId="0" applyNumberFormat="1" applyFont="1" applyFill="1" applyBorder="1" applyAlignment="1">
      <alignment horizontal="center" wrapText="1"/>
    </xf>
    <xf numFmtId="3" fontId="14" fillId="0" borderId="1" xfId="53" applyNumberFormat="1" applyFont="1" applyFill="1" applyBorder="1" applyAlignment="1">
      <alignment horizontal="center" vertical="center" wrapText="1"/>
    </xf>
    <xf numFmtId="4" fontId="18" fillId="0" borderId="1" xfId="53" applyNumberFormat="1" applyFont="1" applyFill="1" applyBorder="1" applyAlignment="1">
      <alignment horizontal="center" vertical="center" wrapText="1"/>
    </xf>
    <xf numFmtId="1" fontId="40" fillId="0" borderId="1" xfId="0" applyNumberFormat="1" applyFont="1" applyFill="1" applyBorder="1" applyAlignment="1">
      <alignment horizontal="center" vertical="center" wrapText="1"/>
    </xf>
    <xf numFmtId="1" fontId="41" fillId="0" borderId="1" xfId="0" applyNumberFormat="1" applyFont="1" applyFill="1" applyBorder="1"/>
    <xf numFmtId="1" fontId="33" fillId="0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/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0" fillId="0" borderId="0" xfId="0" applyFont="1" applyFill="1"/>
    <xf numFmtId="165" fontId="52" fillId="0" borderId="1" xfId="48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/>
    </xf>
    <xf numFmtId="4" fontId="29" fillId="0" borderId="1" xfId="0" applyNumberFormat="1" applyFont="1" applyFill="1" applyBorder="1" applyAlignment="1">
      <alignment horizontal="left"/>
    </xf>
    <xf numFmtId="0" fontId="29" fillId="0" borderId="0" xfId="0" applyFont="1" applyFill="1" applyAlignment="1">
      <alignment horizontal="left"/>
    </xf>
    <xf numFmtId="4" fontId="29" fillId="0" borderId="0" xfId="0" applyNumberFormat="1" applyFont="1" applyFill="1" applyAlignment="1">
      <alignment horizontal="left"/>
    </xf>
    <xf numFmtId="4" fontId="29" fillId="0" borderId="0" xfId="0" applyNumberFormat="1" applyFont="1" applyFill="1" applyAlignment="1">
      <alignment horizontal="center" wrapText="1"/>
    </xf>
    <xf numFmtId="4" fontId="11" fillId="0" borderId="0" xfId="0" applyNumberFormat="1" applyFont="1" applyFill="1" applyAlignment="1">
      <alignment horizontal="center" wrapText="1"/>
    </xf>
    <xf numFmtId="4" fontId="29" fillId="0" borderId="0" xfId="0" applyNumberFormat="1" applyFont="1" applyFill="1" applyBorder="1" applyAlignment="1">
      <alignment horizontal="center" wrapText="1"/>
    </xf>
    <xf numFmtId="4" fontId="29" fillId="0" borderId="6" xfId="0" applyNumberFormat="1" applyFont="1" applyFill="1" applyBorder="1" applyAlignment="1">
      <alignment horizontal="center" wrapText="1"/>
    </xf>
    <xf numFmtId="4" fontId="33" fillId="0" borderId="0" xfId="0" applyNumberFormat="1" applyFont="1" applyFill="1" applyAlignment="1">
      <alignment horizontal="center" wrapText="1"/>
    </xf>
    <xf numFmtId="4" fontId="11" fillId="0" borderId="1" xfId="48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left" vertical="center" wrapText="1"/>
    </xf>
    <xf numFmtId="4" fontId="21" fillId="0" borderId="1" xfId="48" applyNumberFormat="1" applyFont="1" applyFill="1" applyBorder="1" applyAlignment="1">
      <alignment horizontal="center" vertical="center"/>
    </xf>
    <xf numFmtId="4" fontId="39" fillId="0" borderId="1" xfId="53" applyNumberFormat="1" applyFont="1" applyFill="1" applyBorder="1" applyAlignment="1">
      <alignment horizontal="center" vertical="center" wrapText="1"/>
    </xf>
    <xf numFmtId="4" fontId="29" fillId="0" borderId="1" xfId="53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52" fillId="0" borderId="7" xfId="0" applyFont="1" applyFill="1" applyBorder="1" applyAlignment="1">
      <alignment horizontal="left" vertical="center" wrapText="1"/>
    </xf>
    <xf numFmtId="4" fontId="52" fillId="0" borderId="1" xfId="48" applyNumberFormat="1" applyFont="1" applyFill="1" applyBorder="1" applyAlignment="1">
      <alignment horizontal="center" vertical="center"/>
    </xf>
    <xf numFmtId="4" fontId="29" fillId="0" borderId="0" xfId="0" applyNumberFormat="1" applyFont="1" applyFill="1"/>
    <xf numFmtId="4" fontId="11" fillId="0" borderId="0" xfId="0" applyNumberFormat="1" applyFont="1" applyFill="1"/>
    <xf numFmtId="4" fontId="33" fillId="0" borderId="0" xfId="0" applyNumberFormat="1" applyFont="1" applyFill="1"/>
    <xf numFmtId="4" fontId="0" fillId="0" borderId="0" xfId="0" applyNumberFormat="1" applyFill="1"/>
    <xf numFmtId="0" fontId="13" fillId="0" borderId="4" xfId="0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4" fontId="22" fillId="0" borderId="8" xfId="0" applyNumberFormat="1" applyFont="1" applyFill="1" applyBorder="1" applyAlignment="1">
      <alignment horizontal="center" vertical="center" wrapText="1"/>
    </xf>
    <xf numFmtId="4" fontId="18" fillId="0" borderId="4" xfId="48" applyNumberFormat="1" applyFon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vertical="center"/>
    </xf>
    <xf numFmtId="4" fontId="51" fillId="0" borderId="1" xfId="0" applyNumberFormat="1" applyFont="1" applyFill="1" applyBorder="1" applyAlignment="1">
      <alignment vertical="center" wrapText="1"/>
    </xf>
    <xf numFmtId="4" fontId="51" fillId="0" borderId="1" xfId="0" applyNumberFormat="1" applyFont="1" applyFill="1" applyBorder="1" applyAlignment="1">
      <alignment vertical="center" wrapText="1"/>
    </xf>
    <xf numFmtId="4" fontId="37" fillId="0" borderId="1" xfId="0" applyNumberFormat="1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center" vertical="center" wrapText="1"/>
    </xf>
    <xf numFmtId="0" fontId="44" fillId="0" borderId="0" xfId="0" applyFont="1" applyFill="1" applyAlignment="1">
      <alignment horizontal="center" vertical="center" wrapText="1"/>
    </xf>
    <xf numFmtId="4" fontId="29" fillId="0" borderId="1" xfId="0" applyNumberFormat="1" applyFont="1" applyFill="1" applyBorder="1" applyAlignment="1">
      <alignment horizontal="center" wrapText="1"/>
    </xf>
    <xf numFmtId="2" fontId="0" fillId="0" borderId="1" xfId="0" applyNumberFormat="1" applyFill="1" applyBorder="1" applyAlignment="1">
      <alignment horizontal="center" vertical="center" wrapText="1"/>
    </xf>
    <xf numFmtId="2" fontId="30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left" vertical="center" wrapText="1"/>
    </xf>
    <xf numFmtId="1" fontId="15" fillId="0" borderId="1" xfId="0" applyNumberFormat="1" applyFont="1" applyFill="1" applyBorder="1" applyAlignment="1">
      <alignment horizontal="center" vertical="center"/>
    </xf>
    <xf numFmtId="4" fontId="35" fillId="0" borderId="1" xfId="0" applyNumberFormat="1" applyFont="1" applyFill="1" applyBorder="1" applyAlignment="1">
      <alignment horizontal="left" vertical="center" wrapText="1"/>
    </xf>
    <xf numFmtId="4" fontId="35" fillId="0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center" vertical="center" wrapText="1"/>
    </xf>
    <xf numFmtId="4" fontId="28" fillId="0" borderId="0" xfId="0" applyNumberFormat="1" applyFont="1" applyFill="1" applyAlignment="1">
      <alignment horizontal="center" vertical="center" wrapText="1"/>
    </xf>
    <xf numFmtId="4" fontId="29" fillId="0" borderId="1" xfId="48" applyNumberFormat="1" applyFont="1" applyFill="1" applyBorder="1" applyAlignment="1">
      <alignment horizontal="center" vertical="center"/>
    </xf>
    <xf numFmtId="4" fontId="12" fillId="0" borderId="3" xfId="48" applyNumberFormat="1" applyFont="1" applyFill="1" applyBorder="1" applyAlignment="1">
      <alignment horizontal="center" vertical="center"/>
    </xf>
    <xf numFmtId="4" fontId="14" fillId="0" borderId="3" xfId="48" applyNumberFormat="1" applyFont="1" applyFill="1" applyBorder="1" applyAlignment="1">
      <alignment horizontal="center" vertical="center"/>
    </xf>
    <xf numFmtId="4" fontId="12" fillId="0" borderId="4" xfId="48" applyNumberFormat="1" applyFont="1" applyFill="1" applyBorder="1" applyAlignment="1">
      <alignment horizontal="center" vertical="center"/>
    </xf>
    <xf numFmtId="4" fontId="14" fillId="0" borderId="4" xfId="48" applyNumberFormat="1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 wrapText="1"/>
    </xf>
    <xf numFmtId="4" fontId="9" fillId="0" borderId="8" xfId="0" applyNumberFormat="1" applyFont="1" applyFill="1" applyBorder="1" applyAlignment="1">
      <alignment horizontal="center" vertical="center" wrapText="1"/>
    </xf>
    <xf numFmtId="4" fontId="22" fillId="0" borderId="3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vertical="center" wrapText="1"/>
    </xf>
    <xf numFmtId="2" fontId="21" fillId="0" borderId="4" xfId="0" applyNumberFormat="1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top" wrapText="1"/>
    </xf>
    <xf numFmtId="0" fontId="22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wrapText="1"/>
    </xf>
    <xf numFmtId="4" fontId="21" fillId="0" borderId="1" xfId="0" applyNumberFormat="1" applyFont="1" applyFill="1" applyBorder="1" applyAlignment="1">
      <alignment horizontal="center" vertical="center"/>
    </xf>
    <xf numFmtId="1" fontId="30" fillId="0" borderId="1" xfId="0" applyNumberFormat="1" applyFont="1" applyFill="1" applyBorder="1" applyAlignment="1">
      <alignment horizontal="center" vertical="center" wrapText="1"/>
    </xf>
    <xf numFmtId="1" fontId="30" fillId="0" borderId="0" xfId="0" applyNumberFormat="1" applyFont="1" applyFill="1" applyAlignment="1">
      <alignment horizontal="center" vertical="center" wrapText="1"/>
    </xf>
    <xf numFmtId="4" fontId="11" fillId="0" borderId="0" xfId="0" applyNumberFormat="1" applyFont="1" applyFill="1" applyAlignment="1">
      <alignment horizontal="left" vertical="center" wrapText="1"/>
    </xf>
    <xf numFmtId="4" fontId="29" fillId="0" borderId="0" xfId="0" applyNumberFormat="1" applyFont="1" applyFill="1" applyAlignment="1">
      <alignment horizontal="center" vertical="center" wrapText="1"/>
    </xf>
    <xf numFmtId="0" fontId="0" fillId="0" borderId="3" xfId="0" applyFill="1" applyBorder="1"/>
    <xf numFmtId="0" fontId="0" fillId="0" borderId="0" xfId="0" applyFill="1" applyBorder="1"/>
    <xf numFmtId="1" fontId="15" fillId="0" borderId="1" xfId="0" applyNumberFormat="1" applyFont="1" applyFill="1" applyBorder="1" applyAlignment="1">
      <alignment horizontal="left" vertical="center" wrapText="1"/>
    </xf>
    <xf numFmtId="49" fontId="21" fillId="0" borderId="1" xfId="48" applyNumberFormat="1" applyFont="1" applyFill="1" applyBorder="1" applyAlignment="1">
      <alignment horizontal="left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2" fontId="11" fillId="0" borderId="4" xfId="0" applyNumberFormat="1" applyFont="1" applyFill="1" applyBorder="1" applyAlignment="1">
      <alignment horizontal="center" vertical="center" wrapText="1"/>
    </xf>
    <xf numFmtId="4" fontId="22" fillId="0" borderId="3" xfId="0" applyNumberFormat="1" applyFont="1" applyFill="1" applyBorder="1" applyAlignment="1">
      <alignment horizontal="left" vertical="center" wrapText="1"/>
    </xf>
    <xf numFmtId="0" fontId="33" fillId="0" borderId="0" xfId="0" applyFont="1" applyFill="1" applyAlignment="1">
      <alignment horizontal="center" vertical="center"/>
    </xf>
    <xf numFmtId="4" fontId="33" fillId="0" borderId="0" xfId="0" applyNumberFormat="1" applyFont="1" applyFill="1" applyAlignment="1">
      <alignment horizontal="center" wrapText="1"/>
    </xf>
    <xf numFmtId="0" fontId="29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center" wrapText="1"/>
    </xf>
    <xf numFmtId="0" fontId="50" fillId="0" borderId="1" xfId="0" applyFont="1" applyFill="1" applyBorder="1" applyAlignment="1">
      <alignment horizontal="justify" vertical="center" wrapText="1"/>
    </xf>
    <xf numFmtId="4" fontId="50" fillId="0" borderId="1" xfId="0" applyNumberFormat="1" applyFont="1" applyFill="1" applyBorder="1" applyAlignment="1">
      <alignment horizontal="left" vertical="center" wrapText="1"/>
    </xf>
    <xf numFmtId="4" fontId="52" fillId="0" borderId="1" xfId="0" applyNumberFormat="1" applyFont="1" applyFill="1" applyBorder="1" applyAlignment="1">
      <alignment horizontal="left" vertical="center" wrapText="1"/>
    </xf>
    <xf numFmtId="0" fontId="50" fillId="0" borderId="3" xfId="0" applyFont="1" applyFill="1" applyBorder="1" applyAlignment="1">
      <alignment vertical="center" wrapText="1"/>
    </xf>
    <xf numFmtId="0" fontId="50" fillId="0" borderId="1" xfId="55" applyFont="1" applyFill="1" applyBorder="1" applyAlignment="1">
      <alignment vertical="center" wrapText="1"/>
    </xf>
    <xf numFmtId="0" fontId="50" fillId="0" borderId="1" xfId="0" applyFont="1" applyFill="1" applyBorder="1" applyAlignment="1">
      <alignment wrapText="1"/>
    </xf>
    <xf numFmtId="49" fontId="50" fillId="0" borderId="1" xfId="0" applyNumberFormat="1" applyFont="1" applyFill="1" applyBorder="1" applyAlignment="1">
      <alignment vertical="center" wrapText="1"/>
    </xf>
    <xf numFmtId="49" fontId="21" fillId="0" borderId="0" xfId="0" applyNumberFormat="1" applyFont="1" applyFill="1" applyAlignment="1">
      <alignment vertical="center" wrapText="1"/>
    </xf>
    <xf numFmtId="0" fontId="50" fillId="0" borderId="1" xfId="0" applyFont="1" applyFill="1" applyBorder="1" applyAlignment="1">
      <alignment horizontal="left" wrapText="1"/>
    </xf>
    <xf numFmtId="165" fontId="22" fillId="0" borderId="3" xfId="48" applyNumberFormat="1" applyFont="1" applyFill="1" applyBorder="1" applyAlignment="1">
      <alignment horizontal="left" vertical="center" wrapText="1"/>
    </xf>
    <xf numFmtId="0" fontId="50" fillId="0" borderId="0" xfId="0" applyFont="1" applyFill="1" applyAlignment="1">
      <alignment wrapText="1"/>
    </xf>
    <xf numFmtId="4" fontId="50" fillId="0" borderId="1" xfId="0" applyNumberFormat="1" applyFont="1" applyFill="1" applyBorder="1" applyAlignment="1">
      <alignment horizontal="left" wrapText="1"/>
    </xf>
    <xf numFmtId="4" fontId="35" fillId="0" borderId="1" xfId="48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horizontal="right"/>
    </xf>
    <xf numFmtId="4" fontId="52" fillId="0" borderId="3" xfId="48" applyNumberFormat="1" applyFont="1" applyFill="1" applyBorder="1" applyAlignment="1">
      <alignment horizontal="center" vertical="center"/>
    </xf>
    <xf numFmtId="0" fontId="60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left" vertical="center" wrapText="1"/>
    </xf>
    <xf numFmtId="4" fontId="29" fillId="0" borderId="6" xfId="0" applyNumberFormat="1" applyFont="1" applyFill="1" applyBorder="1" applyAlignment="1">
      <alignment horizontal="left" vertical="center" wrapText="1"/>
    </xf>
    <xf numFmtId="0" fontId="29" fillId="0" borderId="0" xfId="0" applyFont="1" applyFill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164" fontId="16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left" vertical="center" wrapText="1"/>
    </xf>
    <xf numFmtId="0" fontId="59" fillId="0" borderId="1" xfId="0" applyFont="1" applyFill="1" applyBorder="1" applyAlignment="1">
      <alignment horizontal="center" vertical="center" wrapText="1"/>
    </xf>
    <xf numFmtId="1" fontId="29" fillId="0" borderId="0" xfId="0" applyNumberFormat="1" applyFont="1" applyFill="1" applyAlignment="1">
      <alignment horizontal="right" wrapText="1" indent="1"/>
    </xf>
    <xf numFmtId="0" fontId="61" fillId="0" borderId="0" xfId="0" applyFont="1" applyFill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59" fillId="0" borderId="3" xfId="0" applyFont="1" applyFill="1" applyBorder="1" applyAlignment="1">
      <alignment horizontal="center" vertical="center" wrapText="1"/>
    </xf>
    <xf numFmtId="0" fontId="59" fillId="0" borderId="4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left" vertical="center" wrapText="1"/>
    </xf>
    <xf numFmtId="4" fontId="11" fillId="0" borderId="6" xfId="0" applyNumberFormat="1" applyFont="1" applyFill="1" applyBorder="1" applyAlignment="1">
      <alignment horizontal="left" vertical="center" wrapText="1"/>
    </xf>
    <xf numFmtId="0" fontId="43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42" fillId="0" borderId="3" xfId="0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wrapText="1"/>
    </xf>
    <xf numFmtId="4" fontId="18" fillId="0" borderId="9" xfId="0" applyNumberFormat="1" applyFont="1" applyFill="1" applyBorder="1" applyAlignment="1">
      <alignment horizontal="center" wrapText="1"/>
    </xf>
    <xf numFmtId="4" fontId="11" fillId="0" borderId="0" xfId="0" applyNumberFormat="1" applyFont="1" applyFill="1" applyAlignment="1">
      <alignment horizontal="center" wrapText="1"/>
    </xf>
    <xf numFmtId="0" fontId="46" fillId="0" borderId="3" xfId="0" applyFont="1" applyFill="1" applyBorder="1" applyAlignment="1">
      <alignment horizontal="center" vertical="center" wrapText="1"/>
    </xf>
    <xf numFmtId="0" fontId="46" fillId="0" borderId="4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</cellXfs>
  <cellStyles count="64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_meresha_07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вичайний 10" xfId="29"/>
    <cellStyle name="Звичайний 11" xfId="30"/>
    <cellStyle name="Звичайний 12" xfId="31"/>
    <cellStyle name="Звичайний 13" xfId="32"/>
    <cellStyle name="Звичайний 14" xfId="33"/>
    <cellStyle name="Звичайний 15" xfId="34"/>
    <cellStyle name="Звичайний 16" xfId="35"/>
    <cellStyle name="Звичайний 17" xfId="36"/>
    <cellStyle name="Звичайний 18" xfId="37"/>
    <cellStyle name="Звичайний 19" xfId="38"/>
    <cellStyle name="Звичайний 2" xfId="39"/>
    <cellStyle name="Звичайний 20" xfId="40"/>
    <cellStyle name="Звичайний 3" xfId="41"/>
    <cellStyle name="Звичайний 4" xfId="42"/>
    <cellStyle name="Звичайний 5" xfId="43"/>
    <cellStyle name="Звичайний 6" xfId="44"/>
    <cellStyle name="Звичайний 7" xfId="45"/>
    <cellStyle name="Звичайний 8" xfId="46"/>
    <cellStyle name="Звичайний 9" xfId="47"/>
    <cellStyle name="Звичайний_Додаток _ 3 зм_ни 4575" xfId="48"/>
    <cellStyle name="Итог 2" xfId="49"/>
    <cellStyle name="Контрольная ячейка 2" xfId="50"/>
    <cellStyle name="Название 2" xfId="51"/>
    <cellStyle name="Нейтральный 2" xfId="52"/>
    <cellStyle name="Обычный" xfId="0" builtinId="0"/>
    <cellStyle name="Обычный 2" xfId="53"/>
    <cellStyle name="Обычный 2 2" xfId="54"/>
    <cellStyle name="Обычный 3" xfId="55"/>
    <cellStyle name="Обычный 4" xfId="56"/>
    <cellStyle name="Плохой 2" xfId="57"/>
    <cellStyle name="Пояснение 2" xfId="58"/>
    <cellStyle name="Примечание 2" xfId="59"/>
    <cellStyle name="Связанная ячейка 2" xfId="60"/>
    <cellStyle name="Стиль 1" xfId="61"/>
    <cellStyle name="Текст предупреждения 2" xfId="62"/>
    <cellStyle name="Хороший 2" xfId="6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3FAF46"/>
      <rgbColor rgb="00C0C0C0"/>
      <rgbColor rgb="00808080"/>
      <rgbColor rgb="00BFBFB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C9211E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3366"/>
  </sheetPr>
  <dimension ref="A1:J1191"/>
  <sheetViews>
    <sheetView tabSelected="1" zoomScaleNormal="100" zoomScaleSheetLayoutView="85" zoomScalePageLayoutView="91" workbookViewId="0">
      <pane xSplit="4" ySplit="7" topLeftCell="E646" activePane="bottomRight" state="frozen"/>
      <selection pane="topRight" activeCell="E1" sqref="E1"/>
      <selection pane="bottomLeft" activeCell="A8" sqref="A8"/>
      <selection pane="bottomRight" activeCell="I6" sqref="I6:I7"/>
    </sheetView>
  </sheetViews>
  <sheetFormatPr defaultColWidth="8.7109375" defaultRowHeight="18.75" x14ac:dyDescent="0.25"/>
  <cols>
    <col min="1" max="1" width="12.42578125" style="25" customWidth="1"/>
    <col min="2" max="2" width="10.7109375" style="25" customWidth="1"/>
    <col min="3" max="3" width="8.85546875" style="26" customWidth="1"/>
    <col min="4" max="4" width="62.5703125" style="27" customWidth="1"/>
    <col min="5" max="6" width="19.7109375" style="25" customWidth="1"/>
    <col min="7" max="7" width="19" style="25" customWidth="1"/>
    <col min="8" max="8" width="19.42578125" style="96" customWidth="1"/>
    <col min="9" max="9" width="13.5703125" style="30" customWidth="1"/>
    <col min="10" max="10" width="2.140625" style="30" customWidth="1"/>
    <col min="11" max="16384" width="8.7109375" style="30"/>
  </cols>
  <sheetData>
    <row r="1" spans="1:10" ht="14.25" customHeight="1" x14ac:dyDescent="0.25">
      <c r="F1" s="28"/>
      <c r="G1" s="28"/>
      <c r="H1" s="29"/>
    </row>
    <row r="2" spans="1:10" ht="21.75" customHeight="1" x14ac:dyDescent="0.25">
      <c r="A2" s="335" t="s">
        <v>207</v>
      </c>
      <c r="B2" s="335"/>
      <c r="C2" s="335"/>
      <c r="D2" s="335"/>
      <c r="E2" s="335"/>
      <c r="F2" s="335"/>
      <c r="G2" s="335"/>
      <c r="H2" s="335"/>
      <c r="I2" s="335"/>
      <c r="J2" s="335"/>
    </row>
    <row r="3" spans="1:10" ht="22.5" customHeight="1" x14ac:dyDescent="0.25">
      <c r="A3" s="335" t="s">
        <v>0</v>
      </c>
      <c r="B3" s="335"/>
      <c r="C3" s="335"/>
      <c r="D3" s="335"/>
      <c r="E3" s="335"/>
      <c r="F3" s="335"/>
      <c r="G3" s="335"/>
      <c r="H3" s="335"/>
      <c r="I3" s="335"/>
      <c r="J3" s="335"/>
    </row>
    <row r="4" spans="1:10" ht="20.25" customHeight="1" x14ac:dyDescent="0.25">
      <c r="A4" s="335" t="s">
        <v>1</v>
      </c>
      <c r="B4" s="335"/>
      <c r="C4" s="335"/>
      <c r="D4" s="335"/>
      <c r="E4" s="335"/>
      <c r="F4" s="335"/>
      <c r="G4" s="335"/>
      <c r="H4" s="335"/>
      <c r="I4" s="335"/>
      <c r="J4" s="335"/>
    </row>
    <row r="5" spans="1:10" ht="18" customHeight="1" x14ac:dyDescent="0.3">
      <c r="D5" s="31"/>
      <c r="E5" s="32"/>
      <c r="H5" s="33"/>
      <c r="I5" s="329" t="s">
        <v>2</v>
      </c>
      <c r="J5" s="33"/>
    </row>
    <row r="6" spans="1:10" ht="70.5" customHeight="1" x14ac:dyDescent="0.25">
      <c r="A6" s="339" t="s">
        <v>3</v>
      </c>
      <c r="B6" s="339" t="s">
        <v>4</v>
      </c>
      <c r="C6" s="339" t="s">
        <v>5</v>
      </c>
      <c r="D6" s="332" t="s">
        <v>6</v>
      </c>
      <c r="E6" s="332" t="s">
        <v>152</v>
      </c>
      <c r="F6" s="336" t="s">
        <v>153</v>
      </c>
      <c r="G6" s="336" t="s">
        <v>281</v>
      </c>
      <c r="H6" s="336" t="s">
        <v>282</v>
      </c>
      <c r="I6" s="337" t="s">
        <v>283</v>
      </c>
      <c r="J6" s="36"/>
    </row>
    <row r="7" spans="1:10" ht="58.5" customHeight="1" x14ac:dyDescent="0.25">
      <c r="A7" s="339"/>
      <c r="B7" s="339"/>
      <c r="C7" s="339"/>
      <c r="D7" s="332"/>
      <c r="E7" s="332"/>
      <c r="F7" s="336"/>
      <c r="G7" s="336"/>
      <c r="H7" s="336"/>
      <c r="I7" s="337"/>
      <c r="J7" s="36"/>
    </row>
    <row r="8" spans="1:10" ht="24" customHeight="1" x14ac:dyDescent="0.25">
      <c r="A8" s="37" t="s">
        <v>9</v>
      </c>
      <c r="B8" s="38"/>
      <c r="C8" s="38"/>
      <c r="D8" s="39" t="s">
        <v>10</v>
      </c>
      <c r="E8" s="328">
        <f>E9+E34+E51+E54+E60+E63+E71+E77+E82+E87+E103+E107+E117+E135+E139+E151+E157+E171+E175+E187+E203+E207+E179</f>
        <v>68400000</v>
      </c>
      <c r="F8" s="328">
        <f>F9+F34+F51+F54+F60+F63+F71+F77+F82+F87+F103+F107+F117+F135+F139+F151+F157+F166+F171+F175+F187+F203+F207+F179</f>
        <v>70830000</v>
      </c>
      <c r="G8" s="328">
        <f>G9+G34+G51+G54+G60+G63+G71+G77+G82+G87+G103+G107+G117+G135+G139+G151+G157+G166+G171+G175+G187+G203+G207+G179</f>
        <v>44830000</v>
      </c>
      <c r="H8" s="328">
        <f>H82+H87+H117+H151+H171+H175+H179+H187</f>
        <v>13912042.130000001</v>
      </c>
      <c r="I8" s="24">
        <f t="shared" ref="I8:I39" si="0">H8/G8*100</f>
        <v>31.032884519295116</v>
      </c>
      <c r="J8" s="23"/>
    </row>
    <row r="9" spans="1:10" ht="29.25" hidden="1" customHeight="1" x14ac:dyDescent="0.3">
      <c r="A9" s="18" t="s">
        <v>11</v>
      </c>
      <c r="B9" s="19" t="s">
        <v>12</v>
      </c>
      <c r="C9" s="20"/>
      <c r="D9" s="21"/>
      <c r="E9" s="22">
        <f>E10+E15+E18+E29</f>
        <v>0</v>
      </c>
      <c r="F9" s="22">
        <f>F10+F15+F18+F29</f>
        <v>0</v>
      </c>
      <c r="G9" s="22">
        <f>G10+G15+G18+G29</f>
        <v>0</v>
      </c>
      <c r="H9" s="22" t="e">
        <f>H10+H15+H18+H29</f>
        <v>#REF!</v>
      </c>
      <c r="I9" s="24" t="e">
        <f t="shared" si="0"/>
        <v>#REF!</v>
      </c>
      <c r="J9" s="22"/>
    </row>
    <row r="10" spans="1:10" ht="26.25" hidden="1" customHeight="1" x14ac:dyDescent="0.3">
      <c r="A10" s="18"/>
      <c r="B10" s="19"/>
      <c r="C10" s="19"/>
      <c r="D10" s="15" t="s">
        <v>13</v>
      </c>
      <c r="E10" s="16">
        <f>SUM(E11:E12)</f>
        <v>0</v>
      </c>
      <c r="F10" s="16">
        <f>SUM(F11:F13)</f>
        <v>0</v>
      </c>
      <c r="G10" s="16">
        <f>SUM(G11:G13)</f>
        <v>0</v>
      </c>
      <c r="H10" s="16" t="e">
        <f>SUM(H11:H13)</f>
        <v>#REF!</v>
      </c>
      <c r="I10" s="24" t="e">
        <f t="shared" si="0"/>
        <v>#REF!</v>
      </c>
      <c r="J10" s="16"/>
    </row>
    <row r="11" spans="1:10" ht="21.75" hidden="1" customHeight="1" x14ac:dyDescent="0.25">
      <c r="A11" s="17"/>
      <c r="B11" s="14"/>
      <c r="C11" s="14"/>
      <c r="D11" s="4"/>
      <c r="E11" s="5"/>
      <c r="F11" s="5"/>
      <c r="G11" s="5"/>
      <c r="H11" s="6" t="e">
        <f>G11-#REF!</f>
        <v>#REF!</v>
      </c>
      <c r="I11" s="24" t="e">
        <f t="shared" si="0"/>
        <v>#REF!</v>
      </c>
      <c r="J11" s="7"/>
    </row>
    <row r="12" spans="1:10" ht="21.75" hidden="1" customHeight="1" x14ac:dyDescent="0.25">
      <c r="A12" s="17"/>
      <c r="B12" s="14"/>
      <c r="C12" s="14"/>
      <c r="D12" s="4"/>
      <c r="E12" s="5"/>
      <c r="F12" s="5"/>
      <c r="G12" s="5"/>
      <c r="H12" s="6" t="e">
        <f>G12-#REF!</f>
        <v>#REF!</v>
      </c>
      <c r="I12" s="24" t="e">
        <f t="shared" si="0"/>
        <v>#REF!</v>
      </c>
      <c r="J12" s="7"/>
    </row>
    <row r="13" spans="1:10" ht="21.75" hidden="1" customHeight="1" x14ac:dyDescent="0.25">
      <c r="A13" s="17"/>
      <c r="B13" s="14"/>
      <c r="C13" s="14"/>
      <c r="D13" s="8"/>
      <c r="E13" s="5"/>
      <c r="F13" s="5"/>
      <c r="G13" s="5"/>
      <c r="H13" s="6" t="e">
        <f>G13-#REF!</f>
        <v>#REF!</v>
      </c>
      <c r="I13" s="24" t="e">
        <f t="shared" si="0"/>
        <v>#REF!</v>
      </c>
      <c r="J13" s="7"/>
    </row>
    <row r="14" spans="1:10" ht="17.25" hidden="1" customHeight="1" x14ac:dyDescent="0.25">
      <c r="A14" s="17"/>
      <c r="B14" s="14"/>
      <c r="C14" s="14"/>
      <c r="D14" s="9"/>
      <c r="E14" s="5"/>
      <c r="F14" s="5"/>
      <c r="G14" s="5"/>
      <c r="H14" s="6" t="e">
        <f>G14-#REF!</f>
        <v>#REF!</v>
      </c>
      <c r="I14" s="24" t="e">
        <f t="shared" si="0"/>
        <v>#REF!</v>
      </c>
      <c r="J14" s="7"/>
    </row>
    <row r="15" spans="1:10" ht="30" hidden="1" customHeight="1" x14ac:dyDescent="0.3">
      <c r="A15" s="17"/>
      <c r="B15" s="14"/>
      <c r="C15" s="14"/>
      <c r="D15" s="15" t="s">
        <v>14</v>
      </c>
      <c r="E15" s="10">
        <f>E16</f>
        <v>0</v>
      </c>
      <c r="F15" s="10">
        <f>F16</f>
        <v>0</v>
      </c>
      <c r="G15" s="10">
        <f>G16</f>
        <v>0</v>
      </c>
      <c r="H15" s="10" t="e">
        <f>H16</f>
        <v>#REF!</v>
      </c>
      <c r="I15" s="24" t="e">
        <f t="shared" si="0"/>
        <v>#REF!</v>
      </c>
      <c r="J15" s="10"/>
    </row>
    <row r="16" spans="1:10" ht="24.75" hidden="1" customHeight="1" x14ac:dyDescent="0.25">
      <c r="A16" s="17"/>
      <c r="B16" s="14"/>
      <c r="C16" s="14"/>
      <c r="D16" s="9"/>
      <c r="E16" s="5"/>
      <c r="F16" s="5"/>
      <c r="G16" s="5"/>
      <c r="H16" s="6" t="e">
        <f>G16-#REF!</f>
        <v>#REF!</v>
      </c>
      <c r="I16" s="24" t="e">
        <f t="shared" si="0"/>
        <v>#REF!</v>
      </c>
      <c r="J16" s="7"/>
    </row>
    <row r="17" spans="1:10" ht="20.25" hidden="1" customHeight="1" x14ac:dyDescent="0.25">
      <c r="A17" s="17"/>
      <c r="B17" s="14"/>
      <c r="C17" s="14"/>
      <c r="D17" s="11"/>
      <c r="E17" s="6"/>
      <c r="F17" s="5"/>
      <c r="G17" s="5"/>
      <c r="H17" s="6"/>
      <c r="I17" s="24" t="e">
        <f t="shared" si="0"/>
        <v>#DIV/0!</v>
      </c>
      <c r="J17" s="7"/>
    </row>
    <row r="18" spans="1:10" ht="34.5" hidden="1" customHeight="1" x14ac:dyDescent="0.25">
      <c r="A18" s="17"/>
      <c r="B18" s="14"/>
      <c r="C18" s="14"/>
      <c r="D18" s="12" t="s">
        <v>15</v>
      </c>
      <c r="E18" s="13">
        <f>SUM(E19:E28)</f>
        <v>0</v>
      </c>
      <c r="F18" s="13">
        <f>SUM(F19:F28)</f>
        <v>0</v>
      </c>
      <c r="G18" s="13">
        <f>SUM(G19:G28)</f>
        <v>0</v>
      </c>
      <c r="H18" s="13" t="e">
        <f>SUM(H19:H28)</f>
        <v>#REF!</v>
      </c>
      <c r="I18" s="24" t="e">
        <f t="shared" si="0"/>
        <v>#REF!</v>
      </c>
      <c r="J18" s="13"/>
    </row>
    <row r="19" spans="1:10" ht="21" hidden="1" customHeight="1" x14ac:dyDescent="0.25">
      <c r="A19" s="17"/>
      <c r="B19" s="14"/>
      <c r="C19" s="14"/>
      <c r="D19" s="9"/>
      <c r="E19" s="6"/>
      <c r="F19" s="6"/>
      <c r="G19" s="5"/>
      <c r="H19" s="6" t="e">
        <f>G19-#REF!</f>
        <v>#REF!</v>
      </c>
      <c r="I19" s="24" t="e">
        <f t="shared" si="0"/>
        <v>#REF!</v>
      </c>
      <c r="J19" s="7"/>
    </row>
    <row r="20" spans="1:10" ht="21" hidden="1" customHeight="1" x14ac:dyDescent="0.25">
      <c r="A20" s="17"/>
      <c r="B20" s="14"/>
      <c r="C20" s="14"/>
      <c r="D20" s="9"/>
      <c r="E20" s="6"/>
      <c r="F20" s="6"/>
      <c r="G20" s="5"/>
      <c r="H20" s="6" t="e">
        <f>G20-#REF!</f>
        <v>#REF!</v>
      </c>
      <c r="I20" s="24" t="e">
        <f t="shared" si="0"/>
        <v>#REF!</v>
      </c>
      <c r="J20" s="7"/>
    </row>
    <row r="21" spans="1:10" ht="21" hidden="1" customHeight="1" x14ac:dyDescent="0.25">
      <c r="A21" s="17"/>
      <c r="B21" s="14"/>
      <c r="C21" s="14"/>
      <c r="D21" s="9"/>
      <c r="E21" s="6"/>
      <c r="F21" s="6"/>
      <c r="G21" s="5"/>
      <c r="H21" s="6" t="e">
        <f>G21-#REF!</f>
        <v>#REF!</v>
      </c>
      <c r="I21" s="24" t="e">
        <f t="shared" si="0"/>
        <v>#REF!</v>
      </c>
      <c r="J21" s="7"/>
    </row>
    <row r="22" spans="1:10" ht="21" hidden="1" customHeight="1" x14ac:dyDescent="0.3">
      <c r="A22" s="17"/>
      <c r="B22" s="14"/>
      <c r="C22" s="14"/>
      <c r="D22" s="1"/>
      <c r="E22" s="6"/>
      <c r="F22" s="6"/>
      <c r="G22" s="5"/>
      <c r="H22" s="6" t="e">
        <f>G22-#REF!</f>
        <v>#REF!</v>
      </c>
      <c r="I22" s="24" t="e">
        <f t="shared" si="0"/>
        <v>#REF!</v>
      </c>
      <c r="J22" s="7"/>
    </row>
    <row r="23" spans="1:10" ht="21" hidden="1" customHeight="1" x14ac:dyDescent="0.25">
      <c r="A23" s="17"/>
      <c r="B23" s="14"/>
      <c r="C23" s="14"/>
      <c r="D23" s="2"/>
      <c r="E23" s="6"/>
      <c r="F23" s="6"/>
      <c r="G23" s="5"/>
      <c r="H23" s="6" t="e">
        <f>G23-#REF!</f>
        <v>#REF!</v>
      </c>
      <c r="I23" s="24" t="e">
        <f t="shared" si="0"/>
        <v>#REF!</v>
      </c>
      <c r="J23" s="7"/>
    </row>
    <row r="24" spans="1:10" ht="21" hidden="1" customHeight="1" x14ac:dyDescent="0.25">
      <c r="A24" s="17"/>
      <c r="B24" s="14"/>
      <c r="C24" s="14"/>
      <c r="D24" s="9"/>
      <c r="E24" s="6"/>
      <c r="F24" s="6"/>
      <c r="G24" s="5"/>
      <c r="H24" s="6" t="e">
        <f>G24-#REF!</f>
        <v>#REF!</v>
      </c>
      <c r="I24" s="24" t="e">
        <f t="shared" si="0"/>
        <v>#REF!</v>
      </c>
      <c r="J24" s="7"/>
    </row>
    <row r="25" spans="1:10" ht="21" hidden="1" customHeight="1" x14ac:dyDescent="0.3">
      <c r="A25" s="17"/>
      <c r="B25" s="14"/>
      <c r="C25" s="14"/>
      <c r="D25" s="1"/>
      <c r="E25" s="6"/>
      <c r="F25" s="6"/>
      <c r="G25" s="5"/>
      <c r="H25" s="6" t="e">
        <f>G25-#REF!</f>
        <v>#REF!</v>
      </c>
      <c r="I25" s="24" t="e">
        <f t="shared" si="0"/>
        <v>#REF!</v>
      </c>
      <c r="J25" s="7"/>
    </row>
    <row r="26" spans="1:10" ht="21" hidden="1" customHeight="1" x14ac:dyDescent="0.25">
      <c r="A26" s="17"/>
      <c r="B26" s="14"/>
      <c r="C26" s="14"/>
      <c r="D26" s="9"/>
      <c r="E26" s="6"/>
      <c r="F26" s="6"/>
      <c r="G26" s="5"/>
      <c r="H26" s="6" t="e">
        <f>G26-#REF!</f>
        <v>#REF!</v>
      </c>
      <c r="I26" s="24" t="e">
        <f t="shared" si="0"/>
        <v>#REF!</v>
      </c>
      <c r="J26" s="7"/>
    </row>
    <row r="27" spans="1:10" ht="21" hidden="1" customHeight="1" x14ac:dyDescent="0.25">
      <c r="A27" s="17"/>
      <c r="B27" s="14"/>
      <c r="C27" s="14"/>
      <c r="D27" s="9"/>
      <c r="E27" s="6"/>
      <c r="F27" s="6"/>
      <c r="G27" s="5"/>
      <c r="H27" s="6" t="e">
        <f>G27-#REF!</f>
        <v>#REF!</v>
      </c>
      <c r="I27" s="24" t="e">
        <f t="shared" si="0"/>
        <v>#REF!</v>
      </c>
      <c r="J27" s="7"/>
    </row>
    <row r="28" spans="1:10" s="42" customFormat="1" ht="21" hidden="1" customHeight="1" x14ac:dyDescent="0.25">
      <c r="A28" s="3"/>
      <c r="B28" s="40"/>
      <c r="C28" s="40"/>
      <c r="D28" s="41"/>
      <c r="E28" s="6"/>
      <c r="F28" s="5"/>
      <c r="G28" s="5"/>
      <c r="H28" s="6"/>
      <c r="I28" s="24" t="e">
        <f t="shared" si="0"/>
        <v>#DIV/0!</v>
      </c>
      <c r="J28" s="7"/>
    </row>
    <row r="29" spans="1:10" s="46" customFormat="1" ht="21" hidden="1" customHeight="1" x14ac:dyDescent="0.25">
      <c r="A29" s="43"/>
      <c r="B29" s="44"/>
      <c r="C29" s="44"/>
      <c r="D29" s="12" t="s">
        <v>16</v>
      </c>
      <c r="E29" s="45">
        <f>SUM(E30:E33)</f>
        <v>0</v>
      </c>
      <c r="F29" s="45">
        <f>SUM(F30:F33)</f>
        <v>0</v>
      </c>
      <c r="G29" s="45">
        <f>SUM(G30:G33)</f>
        <v>0</v>
      </c>
      <c r="H29" s="45" t="e">
        <f>SUM(H30:H33)</f>
        <v>#REF!</v>
      </c>
      <c r="I29" s="24" t="e">
        <f t="shared" si="0"/>
        <v>#REF!</v>
      </c>
      <c r="J29" s="45"/>
    </row>
    <row r="30" spans="1:10" s="42" customFormat="1" ht="29.25" hidden="1" customHeight="1" x14ac:dyDescent="0.25">
      <c r="A30" s="3"/>
      <c r="B30" s="40"/>
      <c r="C30" s="40"/>
      <c r="D30" s="9"/>
      <c r="E30" s="6"/>
      <c r="F30" s="6"/>
      <c r="G30" s="5"/>
      <c r="H30" s="6" t="e">
        <f>G30-#REF!</f>
        <v>#REF!</v>
      </c>
      <c r="I30" s="24" t="e">
        <f t="shared" si="0"/>
        <v>#REF!</v>
      </c>
      <c r="J30" s="7"/>
    </row>
    <row r="31" spans="1:10" s="42" customFormat="1" ht="19.5" hidden="1" customHeight="1" x14ac:dyDescent="0.25">
      <c r="A31" s="3"/>
      <c r="B31" s="40"/>
      <c r="C31" s="40"/>
      <c r="D31" s="9"/>
      <c r="E31" s="6"/>
      <c r="F31" s="6"/>
      <c r="G31" s="5"/>
      <c r="H31" s="6" t="e">
        <f>G31-#REF!</f>
        <v>#REF!</v>
      </c>
      <c r="I31" s="24" t="e">
        <f t="shared" si="0"/>
        <v>#REF!</v>
      </c>
      <c r="J31" s="7"/>
    </row>
    <row r="32" spans="1:10" s="42" customFormat="1" ht="19.5" hidden="1" customHeight="1" x14ac:dyDescent="0.25">
      <c r="A32" s="3"/>
      <c r="B32" s="40"/>
      <c r="C32" s="40"/>
      <c r="D32" s="9"/>
      <c r="E32" s="6"/>
      <c r="F32" s="6"/>
      <c r="G32" s="5"/>
      <c r="H32" s="6" t="e">
        <f>G32-#REF!</f>
        <v>#REF!</v>
      </c>
      <c r="I32" s="24" t="e">
        <f t="shared" si="0"/>
        <v>#REF!</v>
      </c>
      <c r="J32" s="7"/>
    </row>
    <row r="33" spans="1:10" s="42" customFormat="1" ht="13.5" hidden="1" customHeight="1" x14ac:dyDescent="0.25">
      <c r="A33" s="3"/>
      <c r="B33" s="40"/>
      <c r="C33" s="40"/>
      <c r="D33" s="9"/>
      <c r="E33" s="5"/>
      <c r="F33" s="5"/>
      <c r="G33" s="5"/>
      <c r="H33" s="6"/>
      <c r="I33" s="24" t="e">
        <f t="shared" si="0"/>
        <v>#DIV/0!</v>
      </c>
      <c r="J33" s="7"/>
    </row>
    <row r="34" spans="1:10" s="42" customFormat="1" ht="24.75" hidden="1" customHeight="1" x14ac:dyDescent="0.25">
      <c r="A34" s="18" t="s">
        <v>17</v>
      </c>
      <c r="B34" s="19" t="s">
        <v>18</v>
      </c>
      <c r="C34" s="40"/>
      <c r="D34" s="12"/>
      <c r="E34" s="10">
        <f>E36</f>
        <v>0</v>
      </c>
      <c r="F34" s="10">
        <f>F36</f>
        <v>0</v>
      </c>
      <c r="G34" s="10">
        <f>G36</f>
        <v>0</v>
      </c>
      <c r="H34" s="10" t="e">
        <f>H36</f>
        <v>#REF!</v>
      </c>
      <c r="I34" s="24" t="e">
        <f t="shared" si="0"/>
        <v>#REF!</v>
      </c>
      <c r="J34" s="10"/>
    </row>
    <row r="35" spans="1:10" s="42" customFormat="1" ht="45.75" hidden="1" customHeight="1" x14ac:dyDescent="0.25">
      <c r="A35" s="3"/>
      <c r="B35" s="40"/>
      <c r="C35" s="40"/>
      <c r="D35" s="12" t="s">
        <v>19</v>
      </c>
      <c r="E35" s="10"/>
      <c r="F35" s="10"/>
      <c r="G35" s="10"/>
      <c r="H35" s="10"/>
      <c r="I35" s="24" t="e">
        <f t="shared" si="0"/>
        <v>#DIV/0!</v>
      </c>
      <c r="J35" s="10"/>
    </row>
    <row r="36" spans="1:10" s="42" customFormat="1" ht="37.5" hidden="1" customHeight="1" x14ac:dyDescent="0.25">
      <c r="A36" s="18" t="s">
        <v>17</v>
      </c>
      <c r="B36" s="19" t="s">
        <v>18</v>
      </c>
      <c r="C36" s="40"/>
      <c r="D36" s="12"/>
      <c r="E36" s="10">
        <f>E37</f>
        <v>0</v>
      </c>
      <c r="F36" s="10">
        <f>F37</f>
        <v>0</v>
      </c>
      <c r="G36" s="10">
        <f>G37</f>
        <v>0</v>
      </c>
      <c r="H36" s="10" t="e">
        <f>H37</f>
        <v>#REF!</v>
      </c>
      <c r="I36" s="24" t="e">
        <f t="shared" si="0"/>
        <v>#REF!</v>
      </c>
      <c r="J36" s="10"/>
    </row>
    <row r="37" spans="1:10" s="42" customFormat="1" ht="21.75" hidden="1" customHeight="1" x14ac:dyDescent="0.3">
      <c r="A37" s="18"/>
      <c r="B37" s="19"/>
      <c r="C37" s="40"/>
      <c r="D37" s="47"/>
      <c r="E37" s="10">
        <f>E38+E43</f>
        <v>0</v>
      </c>
      <c r="F37" s="10">
        <f>F38+F43</f>
        <v>0</v>
      </c>
      <c r="G37" s="10">
        <f>G38+G43</f>
        <v>0</v>
      </c>
      <c r="H37" s="10" t="e">
        <f>H38+H43</f>
        <v>#REF!</v>
      </c>
      <c r="I37" s="24" t="e">
        <f t="shared" si="0"/>
        <v>#REF!</v>
      </c>
      <c r="J37" s="10"/>
    </row>
    <row r="38" spans="1:10" s="42" customFormat="1" ht="30" hidden="1" customHeight="1" x14ac:dyDescent="0.25">
      <c r="A38" s="18"/>
      <c r="B38" s="19"/>
      <c r="C38" s="40"/>
      <c r="D38" s="12" t="s">
        <v>13</v>
      </c>
      <c r="E38" s="10">
        <f>SUM(E39:E41)</f>
        <v>0</v>
      </c>
      <c r="F38" s="10">
        <f>SUM(F39:F41)</f>
        <v>0</v>
      </c>
      <c r="G38" s="10">
        <f>SUM(G39:G41)</f>
        <v>0</v>
      </c>
      <c r="H38" s="10" t="e">
        <f>SUM(H39:H41)</f>
        <v>#REF!</v>
      </c>
      <c r="I38" s="24" t="e">
        <f t="shared" si="0"/>
        <v>#REF!</v>
      </c>
      <c r="J38" s="10"/>
    </row>
    <row r="39" spans="1:10" s="42" customFormat="1" ht="30" hidden="1" customHeight="1" x14ac:dyDescent="0.3">
      <c r="A39" s="18"/>
      <c r="B39" s="19"/>
      <c r="C39" s="40"/>
      <c r="D39" s="1"/>
      <c r="E39" s="6"/>
      <c r="F39" s="5"/>
      <c r="G39" s="5"/>
      <c r="H39" s="5" t="e">
        <f>G39-#REF!</f>
        <v>#REF!</v>
      </c>
      <c r="I39" s="24" t="e">
        <f t="shared" si="0"/>
        <v>#REF!</v>
      </c>
      <c r="J39" s="5"/>
    </row>
    <row r="40" spans="1:10" s="42" customFormat="1" ht="48.75" hidden="1" customHeight="1" x14ac:dyDescent="0.3">
      <c r="A40" s="18"/>
      <c r="B40" s="19"/>
      <c r="C40" s="40"/>
      <c r="D40" s="1"/>
      <c r="E40" s="48"/>
      <c r="F40" s="5"/>
      <c r="G40" s="5"/>
      <c r="H40" s="5" t="e">
        <f>G40-#REF!</f>
        <v>#REF!</v>
      </c>
      <c r="I40" s="24" t="e">
        <f t="shared" ref="I40:I71" si="1">H40/G40*100</f>
        <v>#REF!</v>
      </c>
      <c r="J40" s="5"/>
    </row>
    <row r="41" spans="1:10" s="42" customFormat="1" ht="50.25" hidden="1" customHeight="1" x14ac:dyDescent="0.3">
      <c r="A41" s="18"/>
      <c r="B41" s="19"/>
      <c r="C41" s="40"/>
      <c r="D41" s="1"/>
      <c r="E41" s="48"/>
      <c r="F41" s="5"/>
      <c r="G41" s="5"/>
      <c r="H41" s="5" t="e">
        <f>G41-#REF!</f>
        <v>#REF!</v>
      </c>
      <c r="I41" s="24" t="e">
        <f t="shared" si="1"/>
        <v>#REF!</v>
      </c>
      <c r="J41" s="5"/>
    </row>
    <row r="42" spans="1:10" s="42" customFormat="1" ht="22.5" hidden="1" customHeight="1" x14ac:dyDescent="0.25">
      <c r="A42" s="18"/>
      <c r="B42" s="19"/>
      <c r="C42" s="40"/>
      <c r="D42" s="12"/>
      <c r="E42" s="10"/>
      <c r="F42" s="10"/>
      <c r="G42" s="10"/>
      <c r="H42" s="10"/>
      <c r="I42" s="24" t="e">
        <f t="shared" si="1"/>
        <v>#DIV/0!</v>
      </c>
      <c r="J42" s="10"/>
    </row>
    <row r="43" spans="1:10" s="42" customFormat="1" ht="37.5" hidden="1" customHeight="1" x14ac:dyDescent="0.25">
      <c r="A43" s="18"/>
      <c r="B43" s="19"/>
      <c r="C43" s="40"/>
      <c r="D43" s="12" t="s">
        <v>15</v>
      </c>
      <c r="E43" s="10">
        <f>SUM(E44:E46)</f>
        <v>0</v>
      </c>
      <c r="F43" s="10">
        <f>SUM(F44:F46)</f>
        <v>0</v>
      </c>
      <c r="G43" s="10">
        <f>SUM(G44:G46)</f>
        <v>0</v>
      </c>
      <c r="H43" s="10" t="e">
        <f>SUM(H44:H46)</f>
        <v>#REF!</v>
      </c>
      <c r="I43" s="24" t="e">
        <f t="shared" si="1"/>
        <v>#REF!</v>
      </c>
      <c r="J43" s="10"/>
    </row>
    <row r="44" spans="1:10" s="42" customFormat="1" ht="21.75" hidden="1" customHeight="1" x14ac:dyDescent="0.25">
      <c r="A44" s="18"/>
      <c r="B44" s="19"/>
      <c r="C44" s="40"/>
      <c r="D44" s="9"/>
      <c r="E44" s="6"/>
      <c r="F44" s="6"/>
      <c r="G44" s="5"/>
      <c r="H44" s="6" t="e">
        <f>G44-#REF!</f>
        <v>#REF!</v>
      </c>
      <c r="I44" s="24" t="e">
        <f t="shared" si="1"/>
        <v>#REF!</v>
      </c>
      <c r="J44" s="7"/>
    </row>
    <row r="45" spans="1:10" s="42" customFormat="1" ht="21.75" hidden="1" customHeight="1" x14ac:dyDescent="0.25">
      <c r="A45" s="18"/>
      <c r="B45" s="19"/>
      <c r="C45" s="40"/>
      <c r="D45" s="9"/>
      <c r="E45" s="6"/>
      <c r="F45" s="6"/>
      <c r="G45" s="5"/>
      <c r="H45" s="6" t="e">
        <f>G45-#REF!</f>
        <v>#REF!</v>
      </c>
      <c r="I45" s="24" t="e">
        <f t="shared" si="1"/>
        <v>#REF!</v>
      </c>
      <c r="J45" s="7"/>
    </row>
    <row r="46" spans="1:10" ht="21.75" hidden="1" customHeight="1" x14ac:dyDescent="0.25">
      <c r="A46" s="49"/>
      <c r="B46" s="50"/>
      <c r="C46" s="50"/>
      <c r="D46" s="9"/>
      <c r="E46" s="6"/>
      <c r="F46" s="6"/>
      <c r="G46" s="5"/>
      <c r="H46" s="6" t="e">
        <f>G46-#REF!</f>
        <v>#REF!</v>
      </c>
      <c r="I46" s="24" t="e">
        <f t="shared" si="1"/>
        <v>#REF!</v>
      </c>
      <c r="J46" s="7"/>
    </row>
    <row r="47" spans="1:10" ht="18.75" hidden="1" customHeight="1" x14ac:dyDescent="0.25">
      <c r="A47" s="49"/>
      <c r="B47" s="50"/>
      <c r="C47" s="50"/>
      <c r="D47" s="9"/>
      <c r="E47" s="6"/>
      <c r="F47" s="5"/>
      <c r="G47" s="5"/>
      <c r="H47" s="6"/>
      <c r="I47" s="24" t="e">
        <f t="shared" si="1"/>
        <v>#DIV/0!</v>
      </c>
      <c r="J47" s="7"/>
    </row>
    <row r="48" spans="1:10" ht="18.75" hidden="1" customHeight="1" x14ac:dyDescent="0.25">
      <c r="A48" s="49"/>
      <c r="B48" s="50"/>
      <c r="C48" s="50"/>
      <c r="D48" s="9"/>
      <c r="E48" s="6"/>
      <c r="F48" s="5"/>
      <c r="G48" s="5"/>
      <c r="H48" s="6"/>
      <c r="I48" s="24" t="e">
        <f t="shared" si="1"/>
        <v>#DIV/0!</v>
      </c>
      <c r="J48" s="7"/>
    </row>
    <row r="49" spans="1:10" ht="18.75" hidden="1" customHeight="1" x14ac:dyDescent="0.25">
      <c r="A49" s="49"/>
      <c r="B49" s="50"/>
      <c r="C49" s="50"/>
      <c r="D49" s="9"/>
      <c r="E49" s="6"/>
      <c r="F49" s="5"/>
      <c r="G49" s="5"/>
      <c r="H49" s="6"/>
      <c r="I49" s="24" t="e">
        <f t="shared" si="1"/>
        <v>#DIV/0!</v>
      </c>
      <c r="J49" s="7"/>
    </row>
    <row r="50" spans="1:10" ht="14.25" hidden="1" customHeight="1" x14ac:dyDescent="0.25">
      <c r="A50" s="49"/>
      <c r="B50" s="50"/>
      <c r="C50" s="50"/>
      <c r="D50" s="9"/>
      <c r="E50" s="6"/>
      <c r="F50" s="5"/>
      <c r="G50" s="5"/>
      <c r="H50" s="6"/>
      <c r="I50" s="24" t="e">
        <f t="shared" si="1"/>
        <v>#DIV/0!</v>
      </c>
      <c r="J50" s="7"/>
    </row>
    <row r="51" spans="1:10" ht="18.75" hidden="1" customHeight="1" x14ac:dyDescent="0.25">
      <c r="A51" s="18" t="s">
        <v>20</v>
      </c>
      <c r="B51" s="51" t="s">
        <v>21</v>
      </c>
      <c r="C51" s="52"/>
      <c r="D51" s="12" t="s">
        <v>22</v>
      </c>
      <c r="E51" s="10">
        <f>SUM(E52)</f>
        <v>0</v>
      </c>
      <c r="F51" s="10">
        <f>SUM(F52)</f>
        <v>0</v>
      </c>
      <c r="G51" s="10">
        <f>SUM(G52)</f>
        <v>0</v>
      </c>
      <c r="H51" s="10" t="e">
        <f>SUM(H52)</f>
        <v>#REF!</v>
      </c>
      <c r="I51" s="24" t="e">
        <f t="shared" si="1"/>
        <v>#REF!</v>
      </c>
      <c r="J51" s="10"/>
    </row>
    <row r="52" spans="1:10" ht="48.75" hidden="1" customHeight="1" x14ac:dyDescent="0.25">
      <c r="A52" s="49"/>
      <c r="B52" s="50"/>
      <c r="C52" s="50"/>
      <c r="D52" s="53"/>
      <c r="E52" s="6"/>
      <c r="F52" s="5"/>
      <c r="G52" s="5"/>
      <c r="H52" s="6" t="e">
        <f>G52-#REF!</f>
        <v>#REF!</v>
      </c>
      <c r="I52" s="24" t="e">
        <f t="shared" si="1"/>
        <v>#REF!</v>
      </c>
      <c r="J52" s="6"/>
    </row>
    <row r="53" spans="1:10" ht="18.75" hidden="1" customHeight="1" x14ac:dyDescent="0.25">
      <c r="A53" s="49"/>
      <c r="B53" s="50"/>
      <c r="C53" s="50"/>
      <c r="D53" s="9"/>
      <c r="E53" s="6"/>
      <c r="F53" s="5"/>
      <c r="G53" s="5"/>
      <c r="H53" s="6"/>
      <c r="I53" s="24" t="e">
        <f t="shared" si="1"/>
        <v>#DIV/0!</v>
      </c>
      <c r="J53" s="7"/>
    </row>
    <row r="54" spans="1:10" ht="27" hidden="1" customHeight="1" x14ac:dyDescent="0.25">
      <c r="A54" s="18" t="s">
        <v>23</v>
      </c>
      <c r="B54" s="51" t="s">
        <v>24</v>
      </c>
      <c r="C54" s="52"/>
      <c r="D54" s="12" t="s">
        <v>22</v>
      </c>
      <c r="E54" s="10">
        <f>SUM(E55:E57)</f>
        <v>0</v>
      </c>
      <c r="F54" s="10">
        <f>SUM(F55:F57)</f>
        <v>0</v>
      </c>
      <c r="G54" s="10">
        <f>SUM(G55:G57)</f>
        <v>0</v>
      </c>
      <c r="H54" s="10" t="e">
        <f>SUM(H55:H57)</f>
        <v>#REF!</v>
      </c>
      <c r="I54" s="24" t="e">
        <f t="shared" si="1"/>
        <v>#REF!</v>
      </c>
      <c r="J54" s="10"/>
    </row>
    <row r="55" spans="1:10" ht="30" hidden="1" customHeight="1" x14ac:dyDescent="0.25">
      <c r="A55" s="49"/>
      <c r="B55" s="50"/>
      <c r="C55" s="50"/>
      <c r="D55" s="4"/>
      <c r="E55" s="6"/>
      <c r="F55" s="5"/>
      <c r="G55" s="5"/>
      <c r="H55" s="6" t="e">
        <f>G55-#REF!</f>
        <v>#REF!</v>
      </c>
      <c r="I55" s="24" t="e">
        <f t="shared" si="1"/>
        <v>#REF!</v>
      </c>
      <c r="J55" s="6"/>
    </row>
    <row r="56" spans="1:10" ht="17.25" hidden="1" customHeight="1" x14ac:dyDescent="0.25">
      <c r="A56" s="49"/>
      <c r="B56" s="50"/>
      <c r="C56" s="50"/>
      <c r="D56" s="54"/>
      <c r="E56" s="6"/>
      <c r="F56" s="5"/>
      <c r="G56" s="5"/>
      <c r="H56" s="6" t="e">
        <f>G56-#REF!</f>
        <v>#REF!</v>
      </c>
      <c r="I56" s="24" t="e">
        <f t="shared" si="1"/>
        <v>#REF!</v>
      </c>
      <c r="J56" s="6"/>
    </row>
    <row r="57" spans="1:10" ht="17.25" hidden="1" customHeight="1" x14ac:dyDescent="0.25">
      <c r="A57" s="49"/>
      <c r="B57" s="50"/>
      <c r="C57" s="50"/>
      <c r="D57" s="55"/>
      <c r="E57" s="6"/>
      <c r="F57" s="5"/>
      <c r="G57" s="5"/>
      <c r="H57" s="6" t="e">
        <f>G57-#REF!</f>
        <v>#REF!</v>
      </c>
      <c r="I57" s="24" t="e">
        <f t="shared" si="1"/>
        <v>#REF!</v>
      </c>
      <c r="J57" s="6"/>
    </row>
    <row r="58" spans="1:10" ht="17.25" hidden="1" customHeight="1" x14ac:dyDescent="0.25">
      <c r="A58" s="49"/>
      <c r="B58" s="50"/>
      <c r="C58" s="50"/>
      <c r="D58" s="56"/>
      <c r="E58" s="6"/>
      <c r="F58" s="5"/>
      <c r="G58" s="5"/>
      <c r="H58" s="6"/>
      <c r="I58" s="24" t="e">
        <f t="shared" si="1"/>
        <v>#DIV/0!</v>
      </c>
      <c r="J58" s="6"/>
    </row>
    <row r="59" spans="1:10" ht="17.25" hidden="1" customHeight="1" x14ac:dyDescent="0.25">
      <c r="A59" s="49"/>
      <c r="B59" s="50"/>
      <c r="C59" s="50"/>
      <c r="D59" s="56"/>
      <c r="E59" s="6"/>
      <c r="F59" s="5"/>
      <c r="G59" s="5"/>
      <c r="H59" s="6"/>
      <c r="I59" s="24" t="e">
        <f t="shared" si="1"/>
        <v>#DIV/0!</v>
      </c>
      <c r="J59" s="6"/>
    </row>
    <row r="60" spans="1:10" ht="17.25" hidden="1" customHeight="1" x14ac:dyDescent="0.25">
      <c r="A60" s="18" t="s">
        <v>25</v>
      </c>
      <c r="B60" s="51" t="s">
        <v>26</v>
      </c>
      <c r="C60" s="52"/>
      <c r="D60" s="12" t="s">
        <v>22</v>
      </c>
      <c r="E60" s="10">
        <f>SUM(E61:E62)</f>
        <v>0</v>
      </c>
      <c r="F60" s="10">
        <f>SUM(F61:F62)</f>
        <v>0</v>
      </c>
      <c r="G60" s="10">
        <f>SUM(G61:G62)</f>
        <v>0</v>
      </c>
      <c r="H60" s="10" t="e">
        <f>SUM(H61:H62)</f>
        <v>#REF!</v>
      </c>
      <c r="I60" s="24" t="e">
        <f t="shared" si="1"/>
        <v>#REF!</v>
      </c>
      <c r="J60" s="10"/>
    </row>
    <row r="61" spans="1:10" ht="48" hidden="1" customHeight="1" x14ac:dyDescent="0.25">
      <c r="A61" s="49"/>
      <c r="B61" s="50"/>
      <c r="C61" s="50"/>
      <c r="D61" s="57"/>
      <c r="E61" s="6"/>
      <c r="F61" s="5"/>
      <c r="G61" s="5"/>
      <c r="H61" s="6" t="e">
        <f>G61-#REF!</f>
        <v>#REF!</v>
      </c>
      <c r="I61" s="24" t="e">
        <f t="shared" si="1"/>
        <v>#REF!</v>
      </c>
      <c r="J61" s="6"/>
    </row>
    <row r="62" spans="1:10" ht="17.25" hidden="1" customHeight="1" x14ac:dyDescent="0.25">
      <c r="A62" s="49"/>
      <c r="B62" s="50"/>
      <c r="C62" s="50"/>
      <c r="D62" s="54"/>
      <c r="E62" s="6"/>
      <c r="F62" s="5"/>
      <c r="G62" s="5"/>
      <c r="H62" s="6" t="e">
        <f>G62-#REF!</f>
        <v>#REF!</v>
      </c>
      <c r="I62" s="24" t="e">
        <f t="shared" si="1"/>
        <v>#REF!</v>
      </c>
      <c r="J62" s="6"/>
    </row>
    <row r="63" spans="1:10" ht="30" hidden="1" customHeight="1" x14ac:dyDescent="0.25">
      <c r="A63" s="18" t="s">
        <v>27</v>
      </c>
      <c r="B63" s="58" t="s">
        <v>28</v>
      </c>
      <c r="C63" s="59"/>
      <c r="D63" s="60" t="s">
        <v>22</v>
      </c>
      <c r="E63" s="45">
        <f>SUM(E64:E65)</f>
        <v>0</v>
      </c>
      <c r="F63" s="45">
        <f>SUM(F64:F65)</f>
        <v>0</v>
      </c>
      <c r="G63" s="45">
        <f>SUM(G64:G65)</f>
        <v>0</v>
      </c>
      <c r="H63" s="45" t="e">
        <f>SUM(H64:H65)</f>
        <v>#REF!</v>
      </c>
      <c r="I63" s="24" t="e">
        <f t="shared" si="1"/>
        <v>#REF!</v>
      </c>
      <c r="J63" s="45"/>
    </row>
    <row r="64" spans="1:10" hidden="1" x14ac:dyDescent="0.25">
      <c r="A64" s="49"/>
      <c r="B64" s="50"/>
      <c r="C64" s="50"/>
      <c r="D64" s="4"/>
      <c r="E64" s="6"/>
      <c r="F64" s="6"/>
      <c r="G64" s="5"/>
      <c r="H64" s="6" t="e">
        <f>G64-#REF!</f>
        <v>#REF!</v>
      </c>
      <c r="I64" s="24" t="e">
        <f t="shared" si="1"/>
        <v>#REF!</v>
      </c>
      <c r="J64" s="6"/>
    </row>
    <row r="65" spans="1:10" ht="48.75" hidden="1" customHeight="1" x14ac:dyDescent="0.25">
      <c r="A65" s="49"/>
      <c r="B65" s="50"/>
      <c r="C65" s="50"/>
      <c r="D65" s="57"/>
      <c r="E65" s="6"/>
      <c r="F65" s="6"/>
      <c r="G65" s="5"/>
      <c r="H65" s="6" t="e">
        <f>G65-#REF!</f>
        <v>#REF!</v>
      </c>
      <c r="I65" s="24" t="e">
        <f t="shared" si="1"/>
        <v>#REF!</v>
      </c>
      <c r="J65" s="6"/>
    </row>
    <row r="66" spans="1:10" ht="18.75" hidden="1" customHeight="1" x14ac:dyDescent="0.25">
      <c r="A66" s="49"/>
      <c r="B66" s="50"/>
      <c r="C66" s="50"/>
      <c r="D66" s="56"/>
      <c r="E66" s="6"/>
      <c r="F66" s="5"/>
      <c r="G66" s="5"/>
      <c r="H66" s="6" t="e">
        <f>G66-#REF!</f>
        <v>#REF!</v>
      </c>
      <c r="I66" s="24" t="e">
        <f t="shared" si="1"/>
        <v>#REF!</v>
      </c>
      <c r="J66" s="6"/>
    </row>
    <row r="67" spans="1:10" ht="30" hidden="1" customHeight="1" x14ac:dyDescent="0.25">
      <c r="A67" s="49"/>
      <c r="B67" s="50"/>
      <c r="C67" s="50"/>
      <c r="D67" s="61"/>
      <c r="E67" s="6"/>
      <c r="F67" s="5"/>
      <c r="G67" s="5"/>
      <c r="H67" s="6"/>
      <c r="I67" s="24" t="e">
        <f t="shared" si="1"/>
        <v>#DIV/0!</v>
      </c>
      <c r="J67" s="6"/>
    </row>
    <row r="68" spans="1:10" ht="30" hidden="1" customHeight="1" x14ac:dyDescent="0.25">
      <c r="A68" s="18" t="s">
        <v>29</v>
      </c>
      <c r="B68" s="51" t="s">
        <v>30</v>
      </c>
      <c r="C68" s="52"/>
      <c r="D68" s="12"/>
      <c r="E68" s="45"/>
      <c r="F68" s="10">
        <f>SUM(F69)</f>
        <v>0</v>
      </c>
      <c r="G68" s="10">
        <f>SUM(G69)</f>
        <v>0</v>
      </c>
      <c r="H68" s="45">
        <f>SUM(H69)</f>
        <v>0</v>
      </c>
      <c r="I68" s="24" t="e">
        <f t="shared" si="1"/>
        <v>#DIV/0!</v>
      </c>
      <c r="J68" s="45"/>
    </row>
    <row r="69" spans="1:10" ht="30" hidden="1" customHeight="1" x14ac:dyDescent="0.25">
      <c r="A69" s="49"/>
      <c r="B69" s="50"/>
      <c r="C69" s="50"/>
      <c r="D69" s="41"/>
      <c r="E69" s="6"/>
      <c r="F69" s="5"/>
      <c r="G69" s="5"/>
      <c r="H69" s="6"/>
      <c r="I69" s="24" t="e">
        <f t="shared" si="1"/>
        <v>#DIV/0!</v>
      </c>
      <c r="J69" s="6"/>
    </row>
    <row r="70" spans="1:10" ht="30" hidden="1" customHeight="1" x14ac:dyDescent="0.25">
      <c r="A70" s="49"/>
      <c r="B70" s="50"/>
      <c r="C70" s="50"/>
      <c r="D70" s="41"/>
      <c r="E70" s="6"/>
      <c r="F70" s="5"/>
      <c r="G70" s="5"/>
      <c r="H70" s="6"/>
      <c r="I70" s="24" t="e">
        <f t="shared" si="1"/>
        <v>#DIV/0!</v>
      </c>
      <c r="J70" s="6"/>
    </row>
    <row r="71" spans="1:10" s="65" customFormat="1" ht="30" hidden="1" customHeight="1" x14ac:dyDescent="0.3">
      <c r="A71" s="18" t="s">
        <v>31</v>
      </c>
      <c r="B71" s="52" t="s">
        <v>32</v>
      </c>
      <c r="C71" s="62"/>
      <c r="D71" s="63"/>
      <c r="E71" s="64">
        <f t="shared" ref="E71:H72" si="2">E72</f>
        <v>0</v>
      </c>
      <c r="F71" s="64">
        <f t="shared" si="2"/>
        <v>0</v>
      </c>
      <c r="G71" s="64">
        <f t="shared" si="2"/>
        <v>0</v>
      </c>
      <c r="H71" s="64" t="e">
        <f t="shared" si="2"/>
        <v>#REF!</v>
      </c>
      <c r="I71" s="24" t="e">
        <f t="shared" si="1"/>
        <v>#REF!</v>
      </c>
      <c r="J71" s="64"/>
    </row>
    <row r="72" spans="1:10" s="70" customFormat="1" ht="30" hidden="1" customHeight="1" x14ac:dyDescent="0.35">
      <c r="A72" s="66"/>
      <c r="B72" s="67"/>
      <c r="C72" s="67"/>
      <c r="D72" s="68" t="s">
        <v>15</v>
      </c>
      <c r="E72" s="69">
        <f t="shared" si="2"/>
        <v>0</v>
      </c>
      <c r="F72" s="45">
        <f t="shared" si="2"/>
        <v>0</v>
      </c>
      <c r="G72" s="45">
        <f t="shared" si="2"/>
        <v>0</v>
      </c>
      <c r="H72" s="45" t="e">
        <f t="shared" si="2"/>
        <v>#REF!</v>
      </c>
      <c r="I72" s="24" t="e">
        <f t="shared" ref="I72:I85" si="3">H72/G72*100</f>
        <v>#REF!</v>
      </c>
      <c r="J72" s="69"/>
    </row>
    <row r="73" spans="1:10" ht="30" hidden="1" customHeight="1" x14ac:dyDescent="0.25">
      <c r="A73" s="71"/>
      <c r="B73" s="62"/>
      <c r="C73" s="72"/>
      <c r="D73" s="73" t="s">
        <v>33</v>
      </c>
      <c r="E73" s="64">
        <f>SUM(E74:E76)</f>
        <v>0</v>
      </c>
      <c r="F73" s="64">
        <f>SUM(F74:F76)</f>
        <v>0</v>
      </c>
      <c r="G73" s="64">
        <f>SUM(G74:G76)</f>
        <v>0</v>
      </c>
      <c r="H73" s="64" t="e">
        <f>SUM(H74:H76)</f>
        <v>#REF!</v>
      </c>
      <c r="I73" s="24" t="e">
        <f t="shared" si="3"/>
        <v>#REF!</v>
      </c>
      <c r="J73" s="64"/>
    </row>
    <row r="74" spans="1:10" ht="30" hidden="1" customHeight="1" x14ac:dyDescent="0.25">
      <c r="A74" s="71"/>
      <c r="B74" s="62"/>
      <c r="C74" s="72"/>
      <c r="D74" s="9"/>
      <c r="E74" s="48"/>
      <c r="F74" s="6"/>
      <c r="G74" s="74"/>
      <c r="H74" s="6" t="e">
        <f>G74-#REF!</f>
        <v>#REF!</v>
      </c>
      <c r="I74" s="24" t="e">
        <f t="shared" si="3"/>
        <v>#REF!</v>
      </c>
      <c r="J74" s="6"/>
    </row>
    <row r="75" spans="1:10" ht="30" hidden="1" customHeight="1" x14ac:dyDescent="0.25">
      <c r="A75" s="71"/>
      <c r="B75" s="62"/>
      <c r="C75" s="72"/>
      <c r="D75" s="9"/>
      <c r="E75" s="48"/>
      <c r="F75" s="6"/>
      <c r="G75" s="74"/>
      <c r="H75" s="6" t="e">
        <f>G75-#REF!</f>
        <v>#REF!</v>
      </c>
      <c r="I75" s="24" t="e">
        <f t="shared" si="3"/>
        <v>#REF!</v>
      </c>
      <c r="J75" s="6"/>
    </row>
    <row r="76" spans="1:10" ht="30" hidden="1" customHeight="1" x14ac:dyDescent="0.25">
      <c r="A76" s="71"/>
      <c r="B76" s="62"/>
      <c r="C76" s="72"/>
      <c r="D76" s="9"/>
      <c r="E76" s="48"/>
      <c r="F76" s="74"/>
      <c r="G76" s="74"/>
      <c r="H76" s="6" t="e">
        <f>G76-#REF!</f>
        <v>#REF!</v>
      </c>
      <c r="I76" s="24" t="e">
        <f t="shared" si="3"/>
        <v>#REF!</v>
      </c>
      <c r="J76" s="6"/>
    </row>
    <row r="77" spans="1:10" ht="30" hidden="1" customHeight="1" x14ac:dyDescent="0.3">
      <c r="A77" s="51" t="s">
        <v>34</v>
      </c>
      <c r="B77" s="75">
        <v>6082</v>
      </c>
      <c r="C77" s="76"/>
      <c r="D77" s="77"/>
      <c r="E77" s="78">
        <f>E78</f>
        <v>0</v>
      </c>
      <c r="F77" s="78">
        <f>F78</f>
        <v>0</v>
      </c>
      <c r="G77" s="78">
        <f>G78</f>
        <v>0</v>
      </c>
      <c r="H77" s="78" t="e">
        <f>H78</f>
        <v>#REF!</v>
      </c>
      <c r="I77" s="24" t="e">
        <f t="shared" si="3"/>
        <v>#REF!</v>
      </c>
      <c r="J77" s="78"/>
    </row>
    <row r="78" spans="1:10" ht="30" hidden="1" customHeight="1" x14ac:dyDescent="0.3">
      <c r="A78" s="51"/>
      <c r="B78" s="78"/>
      <c r="C78" s="76"/>
      <c r="D78" s="68" t="s">
        <v>35</v>
      </c>
      <c r="E78" s="13">
        <f>SUM(E79)</f>
        <v>0</v>
      </c>
      <c r="F78" s="13">
        <f>SUM(F79)</f>
        <v>0</v>
      </c>
      <c r="G78" s="13">
        <f>SUM(G79)</f>
        <v>0</v>
      </c>
      <c r="H78" s="13" t="e">
        <f>SUM(H79)</f>
        <v>#REF!</v>
      </c>
      <c r="I78" s="24" t="e">
        <f t="shared" si="3"/>
        <v>#REF!</v>
      </c>
      <c r="J78" s="13"/>
    </row>
    <row r="79" spans="1:10" ht="30" hidden="1" customHeight="1" x14ac:dyDescent="0.25">
      <c r="A79" s="71"/>
      <c r="B79" s="62"/>
      <c r="C79" s="72"/>
      <c r="D79" s="73" t="s">
        <v>36</v>
      </c>
      <c r="E79" s="79">
        <f>E80</f>
        <v>0</v>
      </c>
      <c r="F79" s="79">
        <f>F80</f>
        <v>0</v>
      </c>
      <c r="G79" s="79">
        <f>G80</f>
        <v>0</v>
      </c>
      <c r="H79" s="79" t="e">
        <f>H80</f>
        <v>#REF!</v>
      </c>
      <c r="I79" s="24" t="e">
        <f t="shared" si="3"/>
        <v>#REF!</v>
      </c>
      <c r="J79" s="79"/>
    </row>
    <row r="80" spans="1:10" ht="30" hidden="1" customHeight="1" x14ac:dyDescent="0.25">
      <c r="A80" s="71"/>
      <c r="B80" s="62"/>
      <c r="C80" s="72"/>
      <c r="D80" s="57"/>
      <c r="E80" s="80"/>
      <c r="F80" s="5"/>
      <c r="G80" s="81"/>
      <c r="H80" s="6" t="e">
        <f>G80-#REF!</f>
        <v>#REF!</v>
      </c>
      <c r="I80" s="24" t="e">
        <f t="shared" si="3"/>
        <v>#REF!</v>
      </c>
      <c r="J80" s="6"/>
    </row>
    <row r="81" spans="1:10" ht="30" hidden="1" customHeight="1" x14ac:dyDescent="0.25">
      <c r="A81" s="71"/>
      <c r="B81" s="62"/>
      <c r="C81" s="72"/>
      <c r="D81" s="57"/>
      <c r="E81" s="80"/>
      <c r="F81" s="5"/>
      <c r="G81" s="81"/>
      <c r="H81" s="6" t="e">
        <f>G81-#REF!</f>
        <v>#REF!</v>
      </c>
      <c r="I81" s="24" t="e">
        <f t="shared" si="3"/>
        <v>#REF!</v>
      </c>
      <c r="J81" s="6"/>
    </row>
    <row r="82" spans="1:10" ht="20.25" customHeight="1" x14ac:dyDescent="0.25">
      <c r="A82" s="51" t="s">
        <v>37</v>
      </c>
      <c r="B82" s="75">
        <v>6083</v>
      </c>
      <c r="C82" s="72"/>
      <c r="D82" s="57"/>
      <c r="E82" s="10">
        <f>E83</f>
        <v>1000000</v>
      </c>
      <c r="F82" s="10">
        <f>F83</f>
        <v>1000000</v>
      </c>
      <c r="G82" s="16">
        <f>G83</f>
        <v>1000000</v>
      </c>
      <c r="H82" s="16">
        <f>H83</f>
        <v>0</v>
      </c>
      <c r="I82" s="24">
        <f t="shared" si="3"/>
        <v>0</v>
      </c>
      <c r="J82" s="16"/>
    </row>
    <row r="83" spans="1:10" ht="18.75" customHeight="1" x14ac:dyDescent="0.25">
      <c r="A83" s="51"/>
      <c r="B83" s="62"/>
      <c r="C83" s="72"/>
      <c r="D83" s="73" t="s">
        <v>14</v>
      </c>
      <c r="E83" s="5">
        <f>SUM(E84:E85)</f>
        <v>1000000</v>
      </c>
      <c r="F83" s="5">
        <f>SUM(F84:F85)</f>
        <v>1000000</v>
      </c>
      <c r="G83" s="5">
        <f>SUM(G84:G85)</f>
        <v>1000000</v>
      </c>
      <c r="H83" s="5">
        <f>SUM(H84:H85)</f>
        <v>0</v>
      </c>
      <c r="I83" s="82">
        <f t="shared" si="3"/>
        <v>0</v>
      </c>
      <c r="J83" s="5"/>
    </row>
    <row r="84" spans="1:10" ht="39.75" customHeight="1" x14ac:dyDescent="0.25">
      <c r="A84" s="51"/>
      <c r="B84" s="62"/>
      <c r="C84" s="72"/>
      <c r="D84" s="9" t="s">
        <v>156</v>
      </c>
      <c r="E84" s="80">
        <f>1000000</f>
        <v>1000000</v>
      </c>
      <c r="F84" s="80">
        <f>1000000</f>
        <v>1000000</v>
      </c>
      <c r="G84" s="81">
        <f>1000000</f>
        <v>1000000</v>
      </c>
      <c r="H84" s="6"/>
      <c r="I84" s="82">
        <f t="shared" si="3"/>
        <v>0</v>
      </c>
      <c r="J84" s="6"/>
    </row>
    <row r="85" spans="1:10" hidden="1" x14ac:dyDescent="0.25">
      <c r="A85" s="51"/>
      <c r="B85" s="62"/>
      <c r="C85" s="72"/>
      <c r="D85" s="9"/>
      <c r="E85" s="80"/>
      <c r="F85" s="80"/>
      <c r="G85" s="81"/>
      <c r="H85" s="6"/>
      <c r="I85" s="82" t="e">
        <f t="shared" si="3"/>
        <v>#DIV/0!</v>
      </c>
      <c r="J85" s="6"/>
    </row>
    <row r="86" spans="1:10" ht="15" customHeight="1" x14ac:dyDescent="0.25">
      <c r="A86" s="51"/>
      <c r="B86" s="62"/>
      <c r="C86" s="72"/>
      <c r="D86" s="9"/>
      <c r="E86" s="80"/>
      <c r="F86" s="5"/>
      <c r="G86" s="81"/>
      <c r="H86" s="6"/>
      <c r="I86" s="82"/>
      <c r="J86" s="6"/>
    </row>
    <row r="87" spans="1:10" ht="22.5" customHeight="1" x14ac:dyDescent="0.3">
      <c r="A87" s="51" t="s">
        <v>38</v>
      </c>
      <c r="B87" s="75">
        <v>7321</v>
      </c>
      <c r="C87" s="76"/>
      <c r="D87" s="77"/>
      <c r="E87" s="13">
        <f>E88+E95</f>
        <v>0</v>
      </c>
      <c r="F87" s="78">
        <f>F88+F95</f>
        <v>30000</v>
      </c>
      <c r="G87" s="78">
        <f>G88+G95</f>
        <v>30000</v>
      </c>
      <c r="H87" s="78">
        <f>H88</f>
        <v>0</v>
      </c>
      <c r="I87" s="24">
        <f t="shared" ref="I87:I118" si="4">H87/G87*100</f>
        <v>0</v>
      </c>
      <c r="J87" s="78"/>
    </row>
    <row r="88" spans="1:10" ht="26.25" customHeight="1" x14ac:dyDescent="0.3">
      <c r="A88" s="51"/>
      <c r="B88" s="78"/>
      <c r="C88" s="76"/>
      <c r="D88" s="68" t="s">
        <v>14</v>
      </c>
      <c r="E88" s="13">
        <f>SUM(E89:E94)</f>
        <v>0</v>
      </c>
      <c r="F88" s="13">
        <f>SUM(F89:F94)</f>
        <v>30000</v>
      </c>
      <c r="G88" s="13">
        <f>SUM(G89:G94)</f>
        <v>30000</v>
      </c>
      <c r="H88" s="13">
        <f>H89</f>
        <v>0</v>
      </c>
      <c r="I88" s="24">
        <f t="shared" si="4"/>
        <v>0</v>
      </c>
      <c r="J88" s="13"/>
    </row>
    <row r="89" spans="1:10" ht="93.75" customHeight="1" x14ac:dyDescent="0.25">
      <c r="A89" s="51"/>
      <c r="B89" s="78"/>
      <c r="C89" s="7"/>
      <c r="D89" s="54" t="s">
        <v>225</v>
      </c>
      <c r="E89" s="6"/>
      <c r="F89" s="6">
        <f>30000</f>
        <v>30000</v>
      </c>
      <c r="G89" s="81">
        <f>30000</f>
        <v>30000</v>
      </c>
      <c r="H89" s="6"/>
      <c r="I89" s="82">
        <f t="shared" si="4"/>
        <v>0</v>
      </c>
      <c r="J89" s="6"/>
    </row>
    <row r="90" spans="1:10" ht="24" hidden="1" customHeight="1" x14ac:dyDescent="0.25">
      <c r="A90" s="51"/>
      <c r="B90" s="83"/>
      <c r="C90" s="72"/>
      <c r="D90" s="316"/>
      <c r="E90" s="6"/>
      <c r="F90" s="6"/>
      <c r="G90" s="81"/>
      <c r="H90" s="6" t="e">
        <f>G90-#REF!</f>
        <v>#REF!</v>
      </c>
      <c r="I90" s="82" t="e">
        <f t="shared" si="4"/>
        <v>#REF!</v>
      </c>
      <c r="J90" s="6"/>
    </row>
    <row r="91" spans="1:10" ht="24" hidden="1" customHeight="1" x14ac:dyDescent="0.25">
      <c r="A91" s="51"/>
      <c r="B91" s="83"/>
      <c r="C91" s="72"/>
      <c r="D91" s="317"/>
      <c r="E91" s="6"/>
      <c r="F91" s="6"/>
      <c r="G91" s="81"/>
      <c r="H91" s="6" t="e">
        <f>G91-#REF!</f>
        <v>#REF!</v>
      </c>
      <c r="I91" s="82" t="e">
        <f t="shared" si="4"/>
        <v>#REF!</v>
      </c>
      <c r="J91" s="6"/>
    </row>
    <row r="92" spans="1:10" ht="23.25" hidden="1" customHeight="1" x14ac:dyDescent="0.25">
      <c r="A92" s="51"/>
      <c r="B92" s="83"/>
      <c r="C92" s="72"/>
      <c r="D92" s="317"/>
      <c r="E92" s="6"/>
      <c r="F92" s="6"/>
      <c r="G92" s="81"/>
      <c r="H92" s="6" t="e">
        <f>G92-#REF!</f>
        <v>#REF!</v>
      </c>
      <c r="I92" s="82" t="e">
        <f t="shared" si="4"/>
        <v>#REF!</v>
      </c>
      <c r="J92" s="6"/>
    </row>
    <row r="93" spans="1:10" ht="23.25" hidden="1" customHeight="1" x14ac:dyDescent="0.25">
      <c r="A93" s="51"/>
      <c r="B93" s="83"/>
      <c r="C93" s="72"/>
      <c r="D93" s="11"/>
      <c r="E93" s="6"/>
      <c r="F93" s="6"/>
      <c r="G93" s="81"/>
      <c r="H93" s="6" t="e">
        <f>G93-#REF!</f>
        <v>#REF!</v>
      </c>
      <c r="I93" s="82" t="e">
        <f t="shared" si="4"/>
        <v>#REF!</v>
      </c>
      <c r="J93" s="6"/>
    </row>
    <row r="94" spans="1:10" ht="15.75" hidden="1" customHeight="1" x14ac:dyDescent="0.25">
      <c r="A94" s="49"/>
      <c r="B94" s="62"/>
      <c r="C94" s="72"/>
      <c r="D94" s="63"/>
      <c r="E94" s="7"/>
      <c r="F94" s="5"/>
      <c r="G94" s="5"/>
      <c r="H94" s="6" t="e">
        <f>G94-#REF!</f>
        <v>#REF!</v>
      </c>
      <c r="I94" s="82" t="e">
        <f t="shared" si="4"/>
        <v>#REF!</v>
      </c>
      <c r="J94" s="6"/>
    </row>
    <row r="95" spans="1:10" ht="15.75" hidden="1" customHeight="1" x14ac:dyDescent="0.3">
      <c r="A95" s="49"/>
      <c r="B95" s="62"/>
      <c r="C95" s="72"/>
      <c r="D95" s="68" t="s">
        <v>16</v>
      </c>
      <c r="E95" s="10">
        <f>SUM(E96:E101)</f>
        <v>0</v>
      </c>
      <c r="F95" s="10">
        <f>SUM(F96:F101)</f>
        <v>0</v>
      </c>
      <c r="G95" s="10">
        <f>SUM(G96:G101)</f>
        <v>0</v>
      </c>
      <c r="H95" s="10" t="e">
        <f>SUM(H96:H101)</f>
        <v>#REF!</v>
      </c>
      <c r="I95" s="82" t="e">
        <f t="shared" si="4"/>
        <v>#REF!</v>
      </c>
      <c r="J95" s="10"/>
    </row>
    <row r="96" spans="1:10" hidden="1" x14ac:dyDescent="0.25">
      <c r="A96" s="49"/>
      <c r="B96" s="62"/>
      <c r="C96" s="72"/>
      <c r="D96" s="9"/>
      <c r="E96" s="6"/>
      <c r="F96" s="6"/>
      <c r="G96" s="5"/>
      <c r="H96" s="6" t="e">
        <f>G96-#REF!</f>
        <v>#REF!</v>
      </c>
      <c r="I96" s="82" t="e">
        <f t="shared" si="4"/>
        <v>#REF!</v>
      </c>
      <c r="J96" s="6"/>
    </row>
    <row r="97" spans="1:10" hidden="1" x14ac:dyDescent="0.25">
      <c r="A97" s="49"/>
      <c r="B97" s="62"/>
      <c r="C97" s="72"/>
      <c r="D97" s="9"/>
      <c r="E97" s="6"/>
      <c r="F97" s="6"/>
      <c r="G97" s="5"/>
      <c r="H97" s="6" t="e">
        <f>G97-#REF!</f>
        <v>#REF!</v>
      </c>
      <c r="I97" s="82" t="e">
        <f t="shared" si="4"/>
        <v>#REF!</v>
      </c>
      <c r="J97" s="6"/>
    </row>
    <row r="98" spans="1:10" ht="20.25" hidden="1" customHeight="1" x14ac:dyDescent="0.25">
      <c r="A98" s="49"/>
      <c r="B98" s="62"/>
      <c r="C98" s="72"/>
      <c r="D98" s="9"/>
      <c r="E98" s="6"/>
      <c r="F98" s="6"/>
      <c r="G98" s="5"/>
      <c r="H98" s="6" t="e">
        <f>G98-#REF!</f>
        <v>#REF!</v>
      </c>
      <c r="I98" s="82" t="e">
        <f t="shared" si="4"/>
        <v>#REF!</v>
      </c>
      <c r="J98" s="6"/>
    </row>
    <row r="99" spans="1:10" ht="20.25" hidden="1" customHeight="1" x14ac:dyDescent="0.25">
      <c r="A99" s="49"/>
      <c r="B99" s="62"/>
      <c r="C99" s="72"/>
      <c r="D99" s="9"/>
      <c r="E99" s="6"/>
      <c r="F99" s="6"/>
      <c r="G99" s="5"/>
      <c r="H99" s="6" t="e">
        <f>G99-#REF!</f>
        <v>#REF!</v>
      </c>
      <c r="I99" s="82" t="e">
        <f t="shared" si="4"/>
        <v>#REF!</v>
      </c>
      <c r="J99" s="6"/>
    </row>
    <row r="100" spans="1:10" ht="20.25" hidden="1" customHeight="1" x14ac:dyDescent="0.25">
      <c r="A100" s="49"/>
      <c r="B100" s="52"/>
      <c r="C100" s="62"/>
      <c r="D100" s="9"/>
      <c r="E100" s="6"/>
      <c r="F100" s="6"/>
      <c r="G100" s="5"/>
      <c r="H100" s="6" t="e">
        <f>G100-#REF!</f>
        <v>#REF!</v>
      </c>
      <c r="I100" s="82" t="e">
        <f t="shared" si="4"/>
        <v>#REF!</v>
      </c>
      <c r="J100" s="6"/>
    </row>
    <row r="101" spans="1:10" ht="20.25" hidden="1" customHeight="1" x14ac:dyDescent="0.25">
      <c r="A101" s="49"/>
      <c r="B101" s="52"/>
      <c r="C101" s="62"/>
      <c r="D101" s="9"/>
      <c r="E101" s="6"/>
      <c r="F101" s="6"/>
      <c r="G101" s="5"/>
      <c r="H101" s="6" t="e">
        <f>G101-#REF!</f>
        <v>#REF!</v>
      </c>
      <c r="I101" s="82" t="e">
        <f t="shared" si="4"/>
        <v>#REF!</v>
      </c>
      <c r="J101" s="6"/>
    </row>
    <row r="102" spans="1:10" ht="16.5" hidden="1" customHeight="1" x14ac:dyDescent="0.3">
      <c r="A102" s="49"/>
      <c r="B102" s="62"/>
      <c r="C102" s="62"/>
      <c r="D102" s="1"/>
      <c r="E102" s="7"/>
      <c r="F102" s="5"/>
      <c r="G102" s="5"/>
      <c r="H102" s="6"/>
      <c r="I102" s="82" t="e">
        <f t="shared" si="4"/>
        <v>#DIV/0!</v>
      </c>
      <c r="J102" s="6"/>
    </row>
    <row r="103" spans="1:10" ht="26.25" hidden="1" customHeight="1" x14ac:dyDescent="0.25">
      <c r="A103" s="18" t="s">
        <v>39</v>
      </c>
      <c r="B103" s="84">
        <v>7322</v>
      </c>
      <c r="C103" s="40"/>
      <c r="D103" s="41"/>
      <c r="E103" s="10">
        <f>E104+E110</f>
        <v>0</v>
      </c>
      <c r="F103" s="10">
        <f>F104+F110</f>
        <v>0</v>
      </c>
      <c r="G103" s="10">
        <f>G104+G110</f>
        <v>0</v>
      </c>
      <c r="H103" s="10" t="e">
        <f>H104+H110</f>
        <v>#REF!</v>
      </c>
      <c r="I103" s="82" t="e">
        <f t="shared" si="4"/>
        <v>#REF!</v>
      </c>
      <c r="J103" s="10"/>
    </row>
    <row r="104" spans="1:10" ht="26.25" hidden="1" customHeight="1" x14ac:dyDescent="0.3">
      <c r="A104" s="18"/>
      <c r="B104" s="19"/>
      <c r="C104" s="40"/>
      <c r="D104" s="68" t="s">
        <v>16</v>
      </c>
      <c r="E104" s="45">
        <f>E105</f>
        <v>0</v>
      </c>
      <c r="F104" s="45">
        <f>F105</f>
        <v>0</v>
      </c>
      <c r="G104" s="45">
        <f>G105</f>
        <v>0</v>
      </c>
      <c r="H104" s="45" t="e">
        <f>H105</f>
        <v>#REF!</v>
      </c>
      <c r="I104" s="82" t="e">
        <f t="shared" si="4"/>
        <v>#REF!</v>
      </c>
      <c r="J104" s="45"/>
    </row>
    <row r="105" spans="1:10" ht="21.75" hidden="1" customHeight="1" x14ac:dyDescent="0.25">
      <c r="A105" s="49"/>
      <c r="B105" s="62"/>
      <c r="C105" s="62"/>
      <c r="D105" s="85"/>
      <c r="E105" s="6"/>
      <c r="F105" s="6"/>
      <c r="G105" s="5"/>
      <c r="H105" s="6" t="e">
        <f>G105-#REF!</f>
        <v>#REF!</v>
      </c>
      <c r="I105" s="82" t="e">
        <f t="shared" si="4"/>
        <v>#REF!</v>
      </c>
      <c r="J105" s="6"/>
    </row>
    <row r="106" spans="1:10" ht="26.25" hidden="1" customHeight="1" x14ac:dyDescent="0.3">
      <c r="A106" s="49"/>
      <c r="B106" s="62"/>
      <c r="C106" s="62"/>
      <c r="D106" s="1"/>
      <c r="E106" s="7"/>
      <c r="F106" s="5"/>
      <c r="G106" s="5"/>
      <c r="H106" s="6"/>
      <c r="I106" s="82" t="e">
        <f t="shared" si="4"/>
        <v>#DIV/0!</v>
      </c>
      <c r="J106" s="6"/>
    </row>
    <row r="107" spans="1:10" ht="24.75" hidden="1" customHeight="1" x14ac:dyDescent="0.25">
      <c r="A107" s="18" t="s">
        <v>40</v>
      </c>
      <c r="B107" s="19" t="s">
        <v>41</v>
      </c>
      <c r="C107" s="40"/>
      <c r="D107" s="41"/>
      <c r="E107" s="10">
        <f>E108+E112</f>
        <v>0</v>
      </c>
      <c r="F107" s="10">
        <f>F108+F112</f>
        <v>0</v>
      </c>
      <c r="G107" s="10">
        <f>G108+G112</f>
        <v>0</v>
      </c>
      <c r="H107" s="10" t="e">
        <f>H108+H112</f>
        <v>#REF!</v>
      </c>
      <c r="I107" s="82" t="e">
        <f t="shared" si="4"/>
        <v>#REF!</v>
      </c>
      <c r="J107" s="10"/>
    </row>
    <row r="108" spans="1:10" ht="31.5" hidden="1" customHeight="1" x14ac:dyDescent="0.25">
      <c r="A108" s="18"/>
      <c r="B108" s="19"/>
      <c r="C108" s="40"/>
      <c r="D108" s="318" t="s">
        <v>14</v>
      </c>
      <c r="E108" s="45">
        <f>E109</f>
        <v>0</v>
      </c>
      <c r="F108" s="45">
        <f>SUM(F109:F110)</f>
        <v>0</v>
      </c>
      <c r="G108" s="45">
        <f>SUM(G109:G110)</f>
        <v>0</v>
      </c>
      <c r="H108" s="45" t="e">
        <f>SUM(H109:H110)</f>
        <v>#REF!</v>
      </c>
      <c r="I108" s="82" t="e">
        <f t="shared" si="4"/>
        <v>#REF!</v>
      </c>
      <c r="J108" s="45"/>
    </row>
    <row r="109" spans="1:10" ht="39" hidden="1" customHeight="1" x14ac:dyDescent="0.25">
      <c r="A109" s="3"/>
      <c r="B109" s="40"/>
      <c r="C109" s="40"/>
      <c r="D109" s="85"/>
      <c r="E109" s="5"/>
      <c r="F109" s="5"/>
      <c r="G109" s="5"/>
      <c r="H109" s="6" t="e">
        <f>G109-#REF!</f>
        <v>#REF!</v>
      </c>
      <c r="I109" s="82" t="e">
        <f t="shared" si="4"/>
        <v>#REF!</v>
      </c>
      <c r="J109" s="7"/>
    </row>
    <row r="110" spans="1:10" ht="39" hidden="1" customHeight="1" x14ac:dyDescent="0.25">
      <c r="A110" s="86"/>
      <c r="B110" s="87"/>
      <c r="C110" s="87"/>
      <c r="D110" s="88"/>
      <c r="E110" s="5"/>
      <c r="F110" s="5"/>
      <c r="G110" s="5"/>
      <c r="H110" s="6" t="e">
        <f>G110-#REF!</f>
        <v>#REF!</v>
      </c>
      <c r="I110" s="82" t="e">
        <f t="shared" si="4"/>
        <v>#REF!</v>
      </c>
      <c r="J110" s="7"/>
    </row>
    <row r="111" spans="1:10" ht="24.75" hidden="1" customHeight="1" x14ac:dyDescent="0.25">
      <c r="A111" s="86"/>
      <c r="B111" s="87"/>
      <c r="C111" s="87"/>
      <c r="D111" s="85"/>
      <c r="E111" s="6"/>
      <c r="F111" s="5"/>
      <c r="G111" s="5"/>
      <c r="H111" s="6"/>
      <c r="I111" s="82" t="e">
        <f t="shared" si="4"/>
        <v>#DIV/0!</v>
      </c>
      <c r="J111" s="7"/>
    </row>
    <row r="112" spans="1:10" ht="24.75" hidden="1" customHeight="1" x14ac:dyDescent="0.3">
      <c r="A112" s="49"/>
      <c r="B112" s="62"/>
      <c r="C112" s="72"/>
      <c r="D112" s="68" t="s">
        <v>16</v>
      </c>
      <c r="E112" s="10">
        <f>SUM(E113:E114)</f>
        <v>0</v>
      </c>
      <c r="F112" s="10">
        <f>SUM(F113:F115)</f>
        <v>0</v>
      </c>
      <c r="G112" s="10">
        <f>SUM(G113:G115)</f>
        <v>0</v>
      </c>
      <c r="H112" s="10" t="e">
        <f>SUM(H113:H115)</f>
        <v>#REF!</v>
      </c>
      <c r="I112" s="82" t="e">
        <f t="shared" si="4"/>
        <v>#REF!</v>
      </c>
      <c r="J112" s="10"/>
    </row>
    <row r="113" spans="1:10" ht="20.25" hidden="1" customHeight="1" x14ac:dyDescent="0.3">
      <c r="A113" s="86"/>
      <c r="B113" s="87"/>
      <c r="C113" s="87"/>
      <c r="D113" s="89"/>
      <c r="E113" s="6"/>
      <c r="F113" s="6"/>
      <c r="G113" s="5"/>
      <c r="H113" s="6" t="e">
        <f>G113-#REF!</f>
        <v>#REF!</v>
      </c>
      <c r="I113" s="82" t="e">
        <f t="shared" si="4"/>
        <v>#REF!</v>
      </c>
      <c r="J113" s="7"/>
    </row>
    <row r="114" spans="1:10" ht="20.25" hidden="1" customHeight="1" x14ac:dyDescent="0.25">
      <c r="A114" s="86"/>
      <c r="B114" s="87"/>
      <c r="C114" s="87"/>
      <c r="D114" s="240"/>
      <c r="E114" s="6"/>
      <c r="F114" s="6"/>
      <c r="G114" s="5"/>
      <c r="H114" s="6" t="e">
        <f>G114-#REF!</f>
        <v>#REF!</v>
      </c>
      <c r="I114" s="82" t="e">
        <f t="shared" si="4"/>
        <v>#REF!</v>
      </c>
      <c r="J114" s="7"/>
    </row>
    <row r="115" spans="1:10" ht="20.25" hidden="1" customHeight="1" x14ac:dyDescent="0.25">
      <c r="A115" s="86"/>
      <c r="B115" s="87"/>
      <c r="C115" s="87"/>
      <c r="D115" s="240"/>
      <c r="E115" s="6"/>
      <c r="F115" s="6"/>
      <c r="G115" s="5"/>
      <c r="H115" s="6" t="e">
        <f>G115-#REF!</f>
        <v>#REF!</v>
      </c>
      <c r="I115" s="82" t="e">
        <f t="shared" si="4"/>
        <v>#REF!</v>
      </c>
      <c r="J115" s="7"/>
    </row>
    <row r="116" spans="1:10" ht="20.25" hidden="1" customHeight="1" x14ac:dyDescent="0.25">
      <c r="A116" s="86"/>
      <c r="B116" s="87"/>
      <c r="C116" s="87"/>
      <c r="D116" s="319"/>
      <c r="E116" s="6"/>
      <c r="F116" s="5"/>
      <c r="G116" s="5"/>
      <c r="H116" s="6"/>
      <c r="I116" s="82" t="e">
        <f t="shared" si="4"/>
        <v>#DIV/0!</v>
      </c>
      <c r="J116" s="7"/>
    </row>
    <row r="117" spans="1:10" ht="19.5" customHeight="1" x14ac:dyDescent="0.25">
      <c r="A117" s="51" t="s">
        <v>42</v>
      </c>
      <c r="B117" s="67" t="s">
        <v>43</v>
      </c>
      <c r="C117" s="62"/>
      <c r="D117" s="63"/>
      <c r="E117" s="90">
        <f>E118+E126</f>
        <v>0</v>
      </c>
      <c r="F117" s="64">
        <f>F118+F126</f>
        <v>400000</v>
      </c>
      <c r="G117" s="90">
        <f>G118+G126</f>
        <v>400000</v>
      </c>
      <c r="H117" s="90">
        <f>H118</f>
        <v>180000</v>
      </c>
      <c r="I117" s="24">
        <f t="shared" si="4"/>
        <v>45</v>
      </c>
      <c r="J117" s="90"/>
    </row>
    <row r="118" spans="1:10" ht="19.5" customHeight="1" x14ac:dyDescent="0.3">
      <c r="A118" s="49"/>
      <c r="B118" s="62"/>
      <c r="C118" s="62"/>
      <c r="D118" s="68" t="s">
        <v>14</v>
      </c>
      <c r="E118" s="91">
        <f>SUM(E119:E124)</f>
        <v>0</v>
      </c>
      <c r="F118" s="10">
        <f>SUM(F119:F124)</f>
        <v>400000</v>
      </c>
      <c r="G118" s="91">
        <f>SUM(G119:G124)</f>
        <v>400000</v>
      </c>
      <c r="H118" s="91">
        <f>H119</f>
        <v>180000</v>
      </c>
      <c r="I118" s="24">
        <f t="shared" si="4"/>
        <v>45</v>
      </c>
      <c r="J118" s="91"/>
    </row>
    <row r="119" spans="1:10" ht="80.25" customHeight="1" x14ac:dyDescent="0.25">
      <c r="A119" s="49"/>
      <c r="B119" s="76"/>
      <c r="C119" s="92"/>
      <c r="D119" s="93" t="s">
        <v>226</v>
      </c>
      <c r="E119" s="6"/>
      <c r="F119" s="6">
        <f>400000</f>
        <v>400000</v>
      </c>
      <c r="G119" s="5">
        <f>400000</f>
        <v>400000</v>
      </c>
      <c r="H119" s="6">
        <f>180000</f>
        <v>180000</v>
      </c>
      <c r="I119" s="82">
        <f t="shared" ref="I119:I149" si="5">H119/G119*100</f>
        <v>45</v>
      </c>
      <c r="J119" s="6"/>
    </row>
    <row r="120" spans="1:10" ht="34.5" hidden="1" customHeight="1" x14ac:dyDescent="0.25">
      <c r="A120" s="49"/>
      <c r="B120" s="76"/>
      <c r="C120" s="92"/>
      <c r="D120" s="210"/>
      <c r="E120" s="6"/>
      <c r="F120" s="6"/>
      <c r="G120" s="5"/>
      <c r="H120" s="6" t="e">
        <f>G120-#REF!</f>
        <v>#REF!</v>
      </c>
      <c r="I120" s="82" t="e">
        <f t="shared" si="5"/>
        <v>#REF!</v>
      </c>
      <c r="J120" s="6"/>
    </row>
    <row r="121" spans="1:10" ht="19.5" hidden="1" customHeight="1" x14ac:dyDescent="0.25">
      <c r="A121" s="49"/>
      <c r="B121" s="92"/>
      <c r="C121" s="92"/>
      <c r="D121" s="210"/>
      <c r="E121" s="6"/>
      <c r="F121" s="6"/>
      <c r="G121" s="5"/>
      <c r="H121" s="6" t="e">
        <f>G121-#REF!</f>
        <v>#REF!</v>
      </c>
      <c r="I121" s="82" t="e">
        <f t="shared" si="5"/>
        <v>#REF!</v>
      </c>
      <c r="J121" s="6"/>
    </row>
    <row r="122" spans="1:10" ht="19.5" hidden="1" customHeight="1" x14ac:dyDescent="0.25">
      <c r="A122" s="49"/>
      <c r="B122" s="62"/>
      <c r="C122" s="62"/>
      <c r="D122" s="320"/>
      <c r="E122" s="6"/>
      <c r="F122" s="6"/>
      <c r="G122" s="5"/>
      <c r="H122" s="6" t="e">
        <f>G122-#REF!</f>
        <v>#REF!</v>
      </c>
      <c r="I122" s="82" t="e">
        <f t="shared" si="5"/>
        <v>#REF!</v>
      </c>
      <c r="J122" s="6"/>
    </row>
    <row r="123" spans="1:10" ht="19.5" hidden="1" customHeight="1" x14ac:dyDescent="0.25">
      <c r="A123" s="49"/>
      <c r="B123" s="62"/>
      <c r="C123" s="62"/>
      <c r="D123" s="210"/>
      <c r="E123" s="6"/>
      <c r="F123" s="6"/>
      <c r="G123" s="5"/>
      <c r="H123" s="6" t="e">
        <f>G123-#REF!</f>
        <v>#REF!</v>
      </c>
      <c r="I123" s="82" t="e">
        <f t="shared" si="5"/>
        <v>#REF!</v>
      </c>
      <c r="J123" s="6"/>
    </row>
    <row r="124" spans="1:10" ht="19.5" hidden="1" customHeight="1" x14ac:dyDescent="0.25">
      <c r="A124" s="49"/>
      <c r="B124" s="62"/>
      <c r="C124" s="62"/>
      <c r="D124" s="210"/>
      <c r="E124" s="6"/>
      <c r="F124" s="6"/>
      <c r="G124" s="5"/>
      <c r="H124" s="6" t="e">
        <f>G124-#REF!</f>
        <v>#REF!</v>
      </c>
      <c r="I124" s="82" t="e">
        <f t="shared" si="5"/>
        <v>#REF!</v>
      </c>
      <c r="J124" s="6"/>
    </row>
    <row r="125" spans="1:10" ht="17.25" hidden="1" customHeight="1" x14ac:dyDescent="0.25">
      <c r="A125" s="49"/>
      <c r="B125" s="62"/>
      <c r="C125" s="62"/>
      <c r="D125" s="240"/>
      <c r="E125" s="48"/>
      <c r="F125" s="5"/>
      <c r="G125" s="5"/>
      <c r="H125" s="6" t="e">
        <f>G125-#REF!</f>
        <v>#REF!</v>
      </c>
      <c r="I125" s="82" t="e">
        <f t="shared" si="5"/>
        <v>#REF!</v>
      </c>
      <c r="J125" s="6"/>
    </row>
    <row r="126" spans="1:10" ht="25.5" hidden="1" customHeight="1" x14ac:dyDescent="0.3">
      <c r="A126" s="49"/>
      <c r="B126" s="62"/>
      <c r="C126" s="62"/>
      <c r="D126" s="68" t="s">
        <v>16</v>
      </c>
      <c r="E126" s="91">
        <f>SUM(E127:E136)</f>
        <v>0</v>
      </c>
      <c r="F126" s="10">
        <f>SUM(F127:F136)</f>
        <v>0</v>
      </c>
      <c r="G126" s="10">
        <f>SUM(G127:G136)</f>
        <v>0</v>
      </c>
      <c r="H126" s="10" t="e">
        <f>SUM(H127:H136)</f>
        <v>#REF!</v>
      </c>
      <c r="I126" s="82" t="e">
        <f t="shared" si="5"/>
        <v>#REF!</v>
      </c>
      <c r="J126" s="10"/>
    </row>
    <row r="127" spans="1:10" ht="20.25" hidden="1" customHeight="1" x14ac:dyDescent="0.25">
      <c r="A127" s="49"/>
      <c r="B127" s="62"/>
      <c r="C127" s="62"/>
      <c r="D127" s="9"/>
      <c r="E127" s="6"/>
      <c r="F127" s="6"/>
      <c r="G127" s="5"/>
      <c r="H127" s="6" t="e">
        <f>G127-#REF!</f>
        <v>#REF!</v>
      </c>
      <c r="I127" s="82" t="e">
        <f t="shared" si="5"/>
        <v>#REF!</v>
      </c>
      <c r="J127" s="6"/>
    </row>
    <row r="128" spans="1:10" ht="20.25" hidden="1" customHeight="1" x14ac:dyDescent="0.25">
      <c r="A128" s="49"/>
      <c r="B128" s="62"/>
      <c r="C128" s="62"/>
      <c r="D128" s="9"/>
      <c r="E128" s="6"/>
      <c r="F128" s="6"/>
      <c r="G128" s="5"/>
      <c r="H128" s="6" t="e">
        <f>G128-#REF!</f>
        <v>#REF!</v>
      </c>
      <c r="I128" s="82" t="e">
        <f t="shared" si="5"/>
        <v>#REF!</v>
      </c>
      <c r="J128" s="6"/>
    </row>
    <row r="129" spans="1:10" ht="20.25" hidden="1" customHeight="1" x14ac:dyDescent="0.25">
      <c r="A129" s="49"/>
      <c r="B129" s="62"/>
      <c r="C129" s="62"/>
      <c r="D129" s="85"/>
      <c r="E129" s="6"/>
      <c r="F129" s="6"/>
      <c r="G129" s="5"/>
      <c r="H129" s="6" t="e">
        <f>G129-#REF!</f>
        <v>#REF!</v>
      </c>
      <c r="I129" s="82" t="e">
        <f t="shared" si="5"/>
        <v>#REF!</v>
      </c>
      <c r="J129" s="6"/>
    </row>
    <row r="130" spans="1:10" ht="20.25" hidden="1" customHeight="1" x14ac:dyDescent="0.25">
      <c r="A130" s="49"/>
      <c r="B130" s="62"/>
      <c r="C130" s="62"/>
      <c r="D130" s="63"/>
      <c r="E130" s="7"/>
      <c r="F130" s="5"/>
      <c r="G130" s="5"/>
      <c r="H130" s="6" t="e">
        <f>G130-#REF!</f>
        <v>#REF!</v>
      </c>
      <c r="I130" s="82" t="e">
        <f t="shared" si="5"/>
        <v>#REF!</v>
      </c>
      <c r="J130" s="6"/>
    </row>
    <row r="131" spans="1:10" ht="32.25" hidden="1" customHeight="1" x14ac:dyDescent="0.3">
      <c r="A131" s="49"/>
      <c r="B131" s="62"/>
      <c r="C131" s="62"/>
      <c r="D131" s="68" t="s">
        <v>16</v>
      </c>
      <c r="E131" s="10">
        <f>E132+E133</f>
        <v>0</v>
      </c>
      <c r="F131" s="10">
        <f>F132+F133</f>
        <v>0</v>
      </c>
      <c r="G131" s="10">
        <f>G132+G133</f>
        <v>0</v>
      </c>
      <c r="H131" s="10" t="e">
        <f>H132+H133</f>
        <v>#REF!</v>
      </c>
      <c r="I131" s="82" t="e">
        <f t="shared" si="5"/>
        <v>#REF!</v>
      </c>
      <c r="J131" s="10"/>
    </row>
    <row r="132" spans="1:10" ht="44.25" hidden="1" customHeight="1" x14ac:dyDescent="0.25">
      <c r="A132" s="49"/>
      <c r="B132" s="59"/>
      <c r="C132" s="94"/>
      <c r="D132" s="85"/>
      <c r="E132" s="7"/>
      <c r="F132" s="5"/>
      <c r="G132" s="5"/>
      <c r="H132" s="6" t="e">
        <f>G132-#REF!</f>
        <v>#REF!</v>
      </c>
      <c r="I132" s="82" t="e">
        <f t="shared" si="5"/>
        <v>#REF!</v>
      </c>
      <c r="J132" s="6"/>
    </row>
    <row r="133" spans="1:10" ht="44.25" hidden="1" customHeight="1" x14ac:dyDescent="0.25">
      <c r="A133" s="49"/>
      <c r="B133" s="59"/>
      <c r="C133" s="94"/>
      <c r="D133" s="85"/>
      <c r="E133" s="7"/>
      <c r="F133" s="5"/>
      <c r="G133" s="5"/>
      <c r="H133" s="6" t="e">
        <f>G133-#REF!</f>
        <v>#REF!</v>
      </c>
      <c r="I133" s="82" t="e">
        <f t="shared" si="5"/>
        <v>#REF!</v>
      </c>
      <c r="J133" s="6"/>
    </row>
    <row r="134" spans="1:10" ht="21" hidden="1" customHeight="1" x14ac:dyDescent="0.25">
      <c r="A134" s="49"/>
      <c r="B134" s="52"/>
      <c r="C134" s="92"/>
      <c r="D134" s="63"/>
      <c r="E134" s="7"/>
      <c r="F134" s="5"/>
      <c r="G134" s="5"/>
      <c r="H134" s="6"/>
      <c r="I134" s="82" t="e">
        <f t="shared" si="5"/>
        <v>#DIV/0!</v>
      </c>
      <c r="J134" s="6"/>
    </row>
    <row r="135" spans="1:10" ht="38.25" hidden="1" customHeight="1" x14ac:dyDescent="0.25">
      <c r="A135" s="18" t="s">
        <v>44</v>
      </c>
      <c r="B135" s="84">
        <v>7330</v>
      </c>
      <c r="C135" s="95"/>
      <c r="D135" s="63"/>
      <c r="E135" s="64">
        <f>E136</f>
        <v>0</v>
      </c>
      <c r="F135" s="64">
        <f>F136</f>
        <v>0</v>
      </c>
      <c r="G135" s="64">
        <f>G136</f>
        <v>0</v>
      </c>
      <c r="H135" s="64" t="e">
        <f>G135-#REF!</f>
        <v>#REF!</v>
      </c>
      <c r="I135" s="82" t="e">
        <f t="shared" si="5"/>
        <v>#REF!</v>
      </c>
      <c r="J135" s="64"/>
    </row>
    <row r="136" spans="1:10" ht="24.75" hidden="1" customHeight="1" x14ac:dyDescent="0.3">
      <c r="A136" s="96"/>
      <c r="B136" s="97"/>
      <c r="C136" s="95"/>
      <c r="D136" s="68" t="s">
        <v>14</v>
      </c>
      <c r="E136" s="10">
        <f>SUM(E137)</f>
        <v>0</v>
      </c>
      <c r="F136" s="10">
        <f>SUM(F137)</f>
        <v>0</v>
      </c>
      <c r="G136" s="10">
        <f>SUM(G137)</f>
        <v>0</v>
      </c>
      <c r="H136" s="10" t="e">
        <f>SUM(H137)</f>
        <v>#REF!</v>
      </c>
      <c r="I136" s="82" t="e">
        <f t="shared" si="5"/>
        <v>#REF!</v>
      </c>
      <c r="J136" s="10"/>
    </row>
    <row r="137" spans="1:10" ht="33.75" hidden="1" customHeight="1" x14ac:dyDescent="0.25">
      <c r="A137" s="49"/>
      <c r="B137" s="52"/>
      <c r="C137" s="92"/>
      <c r="D137" s="85"/>
      <c r="E137" s="7"/>
      <c r="F137" s="5"/>
      <c r="G137" s="5"/>
      <c r="H137" s="6" t="e">
        <f>G137-#REF!</f>
        <v>#REF!</v>
      </c>
      <c r="I137" s="82" t="e">
        <f t="shared" si="5"/>
        <v>#REF!</v>
      </c>
      <c r="J137" s="6"/>
    </row>
    <row r="138" spans="1:10" ht="18" hidden="1" customHeight="1" x14ac:dyDescent="0.25">
      <c r="A138" s="49"/>
      <c r="B138" s="52"/>
      <c r="C138" s="92"/>
      <c r="D138" s="63"/>
      <c r="E138" s="7"/>
      <c r="F138" s="5"/>
      <c r="G138" s="5"/>
      <c r="H138" s="6"/>
      <c r="I138" s="82" t="e">
        <f t="shared" si="5"/>
        <v>#DIV/0!</v>
      </c>
      <c r="J138" s="6"/>
    </row>
    <row r="139" spans="1:10" ht="27.75" hidden="1" customHeight="1" x14ac:dyDescent="0.25">
      <c r="A139" s="18" t="s">
        <v>45</v>
      </c>
      <c r="B139" s="84">
        <v>7340</v>
      </c>
      <c r="C139" s="95"/>
      <c r="D139" s="63"/>
      <c r="E139" s="10">
        <f>E140+E142</f>
        <v>0</v>
      </c>
      <c r="F139" s="64">
        <f>F140+F142</f>
        <v>0</v>
      </c>
      <c r="G139" s="64">
        <f>G140+G142</f>
        <v>0</v>
      </c>
      <c r="H139" s="64" t="e">
        <f>H140+H142</f>
        <v>#REF!</v>
      </c>
      <c r="I139" s="82" t="e">
        <f t="shared" si="5"/>
        <v>#REF!</v>
      </c>
      <c r="J139" s="64"/>
    </row>
    <row r="140" spans="1:10" ht="27.75" hidden="1" customHeight="1" x14ac:dyDescent="0.3">
      <c r="A140" s="96"/>
      <c r="B140" s="97"/>
      <c r="C140" s="95"/>
      <c r="D140" s="68" t="s">
        <v>16</v>
      </c>
      <c r="E140" s="10">
        <f>E141</f>
        <v>0</v>
      </c>
      <c r="F140" s="10">
        <f>F141</f>
        <v>0</v>
      </c>
      <c r="G140" s="10">
        <f>G141</f>
        <v>0</v>
      </c>
      <c r="H140" s="10" t="e">
        <f>SUM(H141)</f>
        <v>#REF!</v>
      </c>
      <c r="I140" s="82" t="e">
        <f t="shared" si="5"/>
        <v>#REF!</v>
      </c>
      <c r="J140" s="10"/>
    </row>
    <row r="141" spans="1:10" ht="39.75" hidden="1" customHeight="1" x14ac:dyDescent="0.25">
      <c r="A141" s="49"/>
      <c r="B141" s="84"/>
      <c r="C141" s="95"/>
      <c r="D141" s="57"/>
      <c r="E141" s="7"/>
      <c r="F141" s="5"/>
      <c r="G141" s="5"/>
      <c r="H141" s="6" t="e">
        <f>G141-#REF!</f>
        <v>#REF!</v>
      </c>
      <c r="I141" s="82" t="e">
        <f t="shared" si="5"/>
        <v>#REF!</v>
      </c>
      <c r="J141" s="6"/>
    </row>
    <row r="142" spans="1:10" ht="21.75" hidden="1" customHeight="1" x14ac:dyDescent="0.3">
      <c r="A142" s="49"/>
      <c r="B142" s="98"/>
      <c r="C142" s="99"/>
      <c r="D142" s="68" t="s">
        <v>46</v>
      </c>
      <c r="E142" s="45">
        <f>SUM(E143:E149)</f>
        <v>0</v>
      </c>
      <c r="F142" s="45">
        <f>SUM(F143:F149)</f>
        <v>0</v>
      </c>
      <c r="G142" s="45">
        <f>SUM(G143:G149)</f>
        <v>0</v>
      </c>
      <c r="H142" s="45" t="e">
        <f>SUM(H143:H149)</f>
        <v>#REF!</v>
      </c>
      <c r="I142" s="82" t="e">
        <f t="shared" si="5"/>
        <v>#REF!</v>
      </c>
      <c r="J142" s="45"/>
    </row>
    <row r="143" spans="1:10" hidden="1" x14ac:dyDescent="0.25">
      <c r="A143" s="49"/>
      <c r="B143" s="84"/>
      <c r="C143" s="99"/>
      <c r="D143" s="85"/>
      <c r="E143" s="6"/>
      <c r="F143" s="6"/>
      <c r="G143" s="5"/>
      <c r="H143" s="6" t="e">
        <f>G143-#REF!</f>
        <v>#REF!</v>
      </c>
      <c r="I143" s="82" t="e">
        <f t="shared" si="5"/>
        <v>#REF!</v>
      </c>
      <c r="J143" s="6"/>
    </row>
    <row r="144" spans="1:10" hidden="1" x14ac:dyDescent="0.25">
      <c r="A144" s="49"/>
      <c r="B144" s="84"/>
      <c r="C144" s="99"/>
      <c r="D144" s="85"/>
      <c r="E144" s="6"/>
      <c r="F144" s="6"/>
      <c r="G144" s="5"/>
      <c r="H144" s="6" t="e">
        <f>G144-#REF!</f>
        <v>#REF!</v>
      </c>
      <c r="I144" s="82" t="e">
        <f t="shared" si="5"/>
        <v>#REF!</v>
      </c>
      <c r="J144" s="6"/>
    </row>
    <row r="145" spans="1:10" hidden="1" x14ac:dyDescent="0.25">
      <c r="A145" s="49"/>
      <c r="B145" s="84"/>
      <c r="C145" s="99"/>
      <c r="D145" s="85"/>
      <c r="E145" s="6"/>
      <c r="F145" s="6"/>
      <c r="G145" s="5"/>
      <c r="H145" s="6" t="e">
        <f>G145-#REF!</f>
        <v>#REF!</v>
      </c>
      <c r="I145" s="82" t="e">
        <f t="shared" si="5"/>
        <v>#REF!</v>
      </c>
      <c r="J145" s="6"/>
    </row>
    <row r="146" spans="1:10" ht="23.25" hidden="1" customHeight="1" x14ac:dyDescent="0.25">
      <c r="A146" s="49"/>
      <c r="B146" s="84"/>
      <c r="C146" s="99"/>
      <c r="D146" s="85"/>
      <c r="E146" s="6"/>
      <c r="F146" s="6"/>
      <c r="G146" s="5"/>
      <c r="H146" s="6" t="e">
        <f>G146-#REF!</f>
        <v>#REF!</v>
      </c>
      <c r="I146" s="82" t="e">
        <f t="shared" si="5"/>
        <v>#REF!</v>
      </c>
      <c r="J146" s="6"/>
    </row>
    <row r="147" spans="1:10" ht="23.25" hidden="1" customHeight="1" x14ac:dyDescent="0.25">
      <c r="A147" s="49"/>
      <c r="B147" s="84"/>
      <c r="C147" s="99"/>
      <c r="D147" s="85"/>
      <c r="E147" s="6"/>
      <c r="F147" s="6"/>
      <c r="G147" s="5"/>
      <c r="H147" s="6" t="e">
        <f>G147-#REF!</f>
        <v>#REF!</v>
      </c>
      <c r="I147" s="82" t="e">
        <f t="shared" si="5"/>
        <v>#REF!</v>
      </c>
      <c r="J147" s="6"/>
    </row>
    <row r="148" spans="1:10" ht="23.25" hidden="1" customHeight="1" x14ac:dyDescent="0.25">
      <c r="A148" s="49"/>
      <c r="B148" s="84"/>
      <c r="C148" s="99"/>
      <c r="D148" s="85"/>
      <c r="E148" s="6"/>
      <c r="F148" s="6"/>
      <c r="G148" s="5"/>
      <c r="H148" s="6" t="e">
        <f>G148-#REF!</f>
        <v>#REF!</v>
      </c>
      <c r="I148" s="82" t="e">
        <f t="shared" si="5"/>
        <v>#REF!</v>
      </c>
      <c r="J148" s="6"/>
    </row>
    <row r="149" spans="1:10" ht="19.5" hidden="1" customHeight="1" x14ac:dyDescent="0.25">
      <c r="A149" s="49"/>
      <c r="B149" s="84"/>
      <c r="C149" s="99"/>
      <c r="D149" s="63"/>
      <c r="E149" s="7"/>
      <c r="F149" s="5"/>
      <c r="G149" s="5"/>
      <c r="H149" s="6" t="e">
        <f>G149-#REF!</f>
        <v>#REF!</v>
      </c>
      <c r="I149" s="82" t="e">
        <f t="shared" si="5"/>
        <v>#REF!</v>
      </c>
      <c r="J149" s="6"/>
    </row>
    <row r="150" spans="1:10" ht="12" customHeight="1" x14ac:dyDescent="0.25">
      <c r="A150" s="49"/>
      <c r="B150" s="84"/>
      <c r="C150" s="99"/>
      <c r="D150" s="63"/>
      <c r="E150" s="7"/>
      <c r="F150" s="5"/>
      <c r="G150" s="5"/>
      <c r="H150" s="6"/>
      <c r="I150" s="82"/>
      <c r="J150" s="6"/>
    </row>
    <row r="151" spans="1:10" ht="18.75" customHeight="1" x14ac:dyDescent="0.3">
      <c r="A151" s="18" t="s">
        <v>47</v>
      </c>
      <c r="B151" s="100">
        <v>7350</v>
      </c>
      <c r="C151" s="95"/>
      <c r="D151" s="77"/>
      <c r="E151" s="78">
        <f t="shared" ref="E151:H152" si="6">E152</f>
        <v>400000</v>
      </c>
      <c r="F151" s="78">
        <f t="shared" si="6"/>
        <v>2400000</v>
      </c>
      <c r="G151" s="78">
        <f t="shared" si="6"/>
        <v>2400000</v>
      </c>
      <c r="H151" s="78">
        <f t="shared" si="6"/>
        <v>0</v>
      </c>
      <c r="I151" s="24">
        <f t="shared" ref="I151:I169" si="7">H151/G151*100</f>
        <v>0</v>
      </c>
      <c r="J151" s="78"/>
    </row>
    <row r="152" spans="1:10" ht="18.75" customHeight="1" x14ac:dyDescent="0.3">
      <c r="A152" s="18"/>
      <c r="B152" s="101"/>
      <c r="C152" s="95"/>
      <c r="D152" s="68" t="s">
        <v>48</v>
      </c>
      <c r="E152" s="13">
        <f t="shared" si="6"/>
        <v>400000</v>
      </c>
      <c r="F152" s="13">
        <f t="shared" si="6"/>
        <v>2400000</v>
      </c>
      <c r="G152" s="13">
        <f t="shared" si="6"/>
        <v>2400000</v>
      </c>
      <c r="H152" s="13">
        <f t="shared" si="6"/>
        <v>0</v>
      </c>
      <c r="I152" s="24">
        <f t="shared" si="7"/>
        <v>0</v>
      </c>
      <c r="J152" s="13"/>
    </row>
    <row r="153" spans="1:10" ht="57.75" customHeight="1" x14ac:dyDescent="0.25">
      <c r="A153" s="49"/>
      <c r="B153" s="97"/>
      <c r="C153" s="95"/>
      <c r="D153" s="85" t="s">
        <v>49</v>
      </c>
      <c r="E153" s="5">
        <f>400000</f>
        <v>400000</v>
      </c>
      <c r="F153" s="5">
        <f>400000+2000000</f>
        <v>2400000</v>
      </c>
      <c r="G153" s="5">
        <f>1090000+1310000</f>
        <v>2400000</v>
      </c>
      <c r="H153" s="5"/>
      <c r="I153" s="82">
        <f t="shared" si="7"/>
        <v>0</v>
      </c>
      <c r="J153" s="5"/>
    </row>
    <row r="154" spans="1:10" ht="24" hidden="1" customHeight="1" x14ac:dyDescent="0.25">
      <c r="A154" s="49"/>
      <c r="B154" s="19"/>
      <c r="C154" s="62"/>
      <c r="D154" s="102"/>
      <c r="E154" s="6"/>
      <c r="F154" s="6"/>
      <c r="G154" s="5"/>
      <c r="H154" s="6" t="e">
        <f>G154-#REF!</f>
        <v>#REF!</v>
      </c>
      <c r="I154" s="82" t="e">
        <f t="shared" si="7"/>
        <v>#REF!</v>
      </c>
      <c r="J154" s="6"/>
    </row>
    <row r="155" spans="1:10" ht="24" hidden="1" customHeight="1" x14ac:dyDescent="0.25">
      <c r="A155" s="49"/>
      <c r="B155" s="19"/>
      <c r="C155" s="62"/>
      <c r="D155" s="102"/>
      <c r="E155" s="6"/>
      <c r="F155" s="6"/>
      <c r="G155" s="5"/>
      <c r="H155" s="6" t="e">
        <f>G155-#REF!</f>
        <v>#REF!</v>
      </c>
      <c r="I155" s="82" t="e">
        <f t="shared" si="7"/>
        <v>#REF!</v>
      </c>
      <c r="J155" s="6"/>
    </row>
    <row r="156" spans="1:10" ht="12" hidden="1" customHeight="1" x14ac:dyDescent="0.25">
      <c r="A156" s="49"/>
      <c r="B156" s="19"/>
      <c r="C156" s="62"/>
      <c r="D156" s="41"/>
      <c r="E156" s="5"/>
      <c r="F156" s="5"/>
      <c r="G156" s="5"/>
      <c r="H156" s="6" t="e">
        <f>G156-#REF!</f>
        <v>#REF!</v>
      </c>
      <c r="I156" s="82" t="e">
        <f t="shared" si="7"/>
        <v>#REF!</v>
      </c>
      <c r="J156" s="6"/>
    </row>
    <row r="157" spans="1:10" ht="23.25" hidden="1" customHeight="1" x14ac:dyDescent="0.25">
      <c r="A157" s="18" t="s">
        <v>50</v>
      </c>
      <c r="B157" s="100">
        <v>7370</v>
      </c>
      <c r="C157" s="62"/>
      <c r="D157" s="41"/>
      <c r="E157" s="10">
        <f>E158+E162</f>
        <v>0</v>
      </c>
      <c r="F157" s="10">
        <f>F158+F162</f>
        <v>0</v>
      </c>
      <c r="G157" s="10">
        <f>G158+G162</f>
        <v>0</v>
      </c>
      <c r="H157" s="10" t="e">
        <f>H158+H162</f>
        <v>#REF!</v>
      </c>
      <c r="I157" s="82" t="e">
        <f t="shared" si="7"/>
        <v>#REF!</v>
      </c>
      <c r="J157" s="10"/>
    </row>
    <row r="158" spans="1:10" ht="23.25" hidden="1" customHeight="1" x14ac:dyDescent="0.25">
      <c r="A158" s="49"/>
      <c r="B158" s="19"/>
      <c r="C158" s="62"/>
      <c r="D158" s="318" t="s">
        <v>14</v>
      </c>
      <c r="E158" s="5">
        <f>SUM(E159:E160)</f>
        <v>0</v>
      </c>
      <c r="F158" s="5">
        <f>SUM(F159:F160)</f>
        <v>0</v>
      </c>
      <c r="G158" s="5">
        <f>SUM(G159:G160)</f>
        <v>0</v>
      </c>
      <c r="H158" s="5" t="e">
        <f>SUM(H159:H160)</f>
        <v>#REF!</v>
      </c>
      <c r="I158" s="82" t="e">
        <f t="shared" si="7"/>
        <v>#REF!</v>
      </c>
      <c r="J158" s="5"/>
    </row>
    <row r="159" spans="1:10" ht="36.75" hidden="1" customHeight="1" x14ac:dyDescent="0.25">
      <c r="A159" s="18"/>
      <c r="B159" s="100"/>
      <c r="C159" s="62"/>
      <c r="D159" s="41"/>
      <c r="E159" s="5"/>
      <c r="F159" s="5"/>
      <c r="G159" s="5"/>
      <c r="H159" s="6" t="e">
        <f>G159-#REF!</f>
        <v>#REF!</v>
      </c>
      <c r="I159" s="82" t="e">
        <f t="shared" si="7"/>
        <v>#REF!</v>
      </c>
      <c r="J159" s="6"/>
    </row>
    <row r="160" spans="1:10" ht="38.25" hidden="1" customHeight="1" x14ac:dyDescent="0.25">
      <c r="A160" s="18"/>
      <c r="B160" s="100"/>
      <c r="C160" s="62"/>
      <c r="D160" s="85"/>
      <c r="E160" s="6"/>
      <c r="F160" s="6"/>
      <c r="G160" s="5"/>
      <c r="H160" s="6" t="e">
        <f>G160-#REF!</f>
        <v>#REF!</v>
      </c>
      <c r="I160" s="82" t="e">
        <f t="shared" si="7"/>
        <v>#REF!</v>
      </c>
      <c r="J160" s="6"/>
    </row>
    <row r="161" spans="1:10" ht="23.25" hidden="1" customHeight="1" x14ac:dyDescent="0.25">
      <c r="A161" s="18"/>
      <c r="B161" s="100"/>
      <c r="C161" s="62"/>
      <c r="D161" s="41"/>
      <c r="E161" s="5"/>
      <c r="F161" s="10"/>
      <c r="G161" s="10"/>
      <c r="H161" s="45"/>
      <c r="I161" s="82" t="e">
        <f t="shared" si="7"/>
        <v>#DIV/0!</v>
      </c>
      <c r="J161" s="45"/>
    </row>
    <row r="162" spans="1:10" ht="28.5" hidden="1" customHeight="1" x14ac:dyDescent="0.25">
      <c r="A162" s="49"/>
      <c r="B162" s="19"/>
      <c r="C162" s="62"/>
      <c r="D162" s="318" t="s">
        <v>16</v>
      </c>
      <c r="E162" s="10">
        <f>SUM(E163:E164)</f>
        <v>0</v>
      </c>
      <c r="F162" s="10">
        <f>SUM(F163:F164)</f>
        <v>0</v>
      </c>
      <c r="G162" s="10">
        <f>SUM(G163:G164)</f>
        <v>0</v>
      </c>
      <c r="H162" s="10" t="e">
        <f>SUM(H163:H164)</f>
        <v>#REF!</v>
      </c>
      <c r="I162" s="82" t="e">
        <f t="shared" si="7"/>
        <v>#REF!</v>
      </c>
      <c r="J162" s="10"/>
    </row>
    <row r="163" spans="1:10" ht="28.5" hidden="1" customHeight="1" x14ac:dyDescent="0.25">
      <c r="A163" s="49"/>
      <c r="B163" s="19"/>
      <c r="C163" s="62"/>
      <c r="D163" s="41"/>
      <c r="E163" s="5"/>
      <c r="F163" s="5"/>
      <c r="G163" s="5"/>
      <c r="H163" s="6" t="e">
        <f>G163-#REF!</f>
        <v>#REF!</v>
      </c>
      <c r="I163" s="82" t="e">
        <f t="shared" si="7"/>
        <v>#REF!</v>
      </c>
      <c r="J163" s="6"/>
    </row>
    <row r="164" spans="1:10" ht="24" hidden="1" customHeight="1" x14ac:dyDescent="0.25">
      <c r="A164" s="49"/>
      <c r="B164" s="19"/>
      <c r="C164" s="62"/>
      <c r="D164" s="85"/>
      <c r="E164" s="6"/>
      <c r="F164" s="6"/>
      <c r="G164" s="5"/>
      <c r="H164" s="6" t="e">
        <f>G164-#REF!</f>
        <v>#REF!</v>
      </c>
      <c r="I164" s="82" t="e">
        <f t="shared" si="7"/>
        <v>#REF!</v>
      </c>
      <c r="J164" s="6"/>
    </row>
    <row r="165" spans="1:10" ht="20.25" hidden="1" customHeight="1" x14ac:dyDescent="0.25">
      <c r="A165" s="49"/>
      <c r="B165" s="19"/>
      <c r="C165" s="62"/>
      <c r="D165" s="85"/>
      <c r="E165" s="6"/>
      <c r="F165" s="6"/>
      <c r="G165" s="5"/>
      <c r="H165" s="6"/>
      <c r="I165" s="82" t="e">
        <f t="shared" si="7"/>
        <v>#DIV/0!</v>
      </c>
      <c r="J165" s="6"/>
    </row>
    <row r="166" spans="1:10" ht="32.25" hidden="1" customHeight="1" x14ac:dyDescent="0.3">
      <c r="A166" s="18" t="s">
        <v>51</v>
      </c>
      <c r="B166" s="100">
        <v>7693</v>
      </c>
      <c r="C166" s="95"/>
      <c r="D166" s="77"/>
      <c r="E166" s="78">
        <f>E167</f>
        <v>0</v>
      </c>
      <c r="F166" s="78">
        <f>F167</f>
        <v>0</v>
      </c>
      <c r="G166" s="78">
        <f>G167</f>
        <v>0</v>
      </c>
      <c r="H166" s="78" t="e">
        <f>H167</f>
        <v>#REF!</v>
      </c>
      <c r="I166" s="82" t="e">
        <f t="shared" si="7"/>
        <v>#REF!</v>
      </c>
      <c r="J166" s="78"/>
    </row>
    <row r="167" spans="1:10" ht="21" hidden="1" customHeight="1" x14ac:dyDescent="0.3">
      <c r="A167" s="18"/>
      <c r="B167" s="101"/>
      <c r="C167" s="95"/>
      <c r="D167" s="68" t="s">
        <v>13</v>
      </c>
      <c r="E167" s="13">
        <f>SUM(E168:E170)</f>
        <v>0</v>
      </c>
      <c r="F167" s="13">
        <f>SUM(F168:F170)</f>
        <v>0</v>
      </c>
      <c r="G167" s="13">
        <f>SUM(G168:G170)</f>
        <v>0</v>
      </c>
      <c r="H167" s="13" t="e">
        <f>SUM(H168:H170)</f>
        <v>#REF!</v>
      </c>
      <c r="I167" s="82" t="e">
        <f t="shared" si="7"/>
        <v>#REF!</v>
      </c>
      <c r="J167" s="78"/>
    </row>
    <row r="168" spans="1:10" ht="22.5" hidden="1" customHeight="1" x14ac:dyDescent="0.25">
      <c r="A168" s="49"/>
      <c r="B168" s="19"/>
      <c r="C168" s="62"/>
      <c r="D168" s="103"/>
      <c r="E168" s="5"/>
      <c r="F168" s="5"/>
      <c r="G168" s="5"/>
      <c r="H168" s="6" t="e">
        <f>G168-#REF!</f>
        <v>#REF!</v>
      </c>
      <c r="I168" s="82" t="e">
        <f t="shared" si="7"/>
        <v>#REF!</v>
      </c>
      <c r="J168" s="6"/>
    </row>
    <row r="169" spans="1:10" ht="45" hidden="1" customHeight="1" x14ac:dyDescent="0.25">
      <c r="A169" s="49"/>
      <c r="B169" s="19"/>
      <c r="C169" s="62"/>
      <c r="D169" s="8"/>
      <c r="E169" s="5"/>
      <c r="F169" s="5"/>
      <c r="G169" s="5"/>
      <c r="H169" s="6" t="e">
        <f>G169-#REF!</f>
        <v>#REF!</v>
      </c>
      <c r="I169" s="82" t="e">
        <f t="shared" si="7"/>
        <v>#REF!</v>
      </c>
      <c r="J169" s="6"/>
    </row>
    <row r="170" spans="1:10" ht="15.75" customHeight="1" x14ac:dyDescent="0.25">
      <c r="A170" s="49"/>
      <c r="B170" s="19"/>
      <c r="C170" s="62"/>
      <c r="D170" s="240"/>
      <c r="E170" s="5"/>
      <c r="F170" s="5"/>
      <c r="G170" s="5"/>
      <c r="H170" s="6"/>
      <c r="I170" s="82"/>
      <c r="J170" s="6"/>
    </row>
    <row r="171" spans="1:10" ht="22.5" customHeight="1" x14ac:dyDescent="0.25">
      <c r="A171" s="18" t="s">
        <v>238</v>
      </c>
      <c r="B171" s="100">
        <v>8220</v>
      </c>
      <c r="C171" s="62"/>
      <c r="D171" s="240"/>
      <c r="E171" s="10">
        <f t="shared" ref="E171:H172" si="8">E172</f>
        <v>0</v>
      </c>
      <c r="F171" s="10">
        <f t="shared" si="8"/>
        <v>94542</v>
      </c>
      <c r="G171" s="10">
        <f t="shared" si="8"/>
        <v>94542</v>
      </c>
      <c r="H171" s="10">
        <f t="shared" si="8"/>
        <v>94542</v>
      </c>
      <c r="I171" s="24">
        <f>H171/G171*100</f>
        <v>100</v>
      </c>
      <c r="J171" s="6"/>
    </row>
    <row r="172" spans="1:10" ht="19.5" customHeight="1" x14ac:dyDescent="0.25">
      <c r="A172" s="49"/>
      <c r="B172" s="19"/>
      <c r="C172" s="62"/>
      <c r="D172" s="318" t="s">
        <v>13</v>
      </c>
      <c r="E172" s="10">
        <f t="shared" si="8"/>
        <v>0</v>
      </c>
      <c r="F172" s="10">
        <f t="shared" si="8"/>
        <v>94542</v>
      </c>
      <c r="G172" s="10">
        <f t="shared" si="8"/>
        <v>94542</v>
      </c>
      <c r="H172" s="10">
        <f t="shared" si="8"/>
        <v>94542</v>
      </c>
      <c r="I172" s="24">
        <f>H172/G172*100</f>
        <v>100</v>
      </c>
      <c r="J172" s="6"/>
    </row>
    <row r="173" spans="1:10" ht="54.75" customHeight="1" x14ac:dyDescent="0.25">
      <c r="A173" s="49"/>
      <c r="B173" s="19"/>
      <c r="C173" s="62"/>
      <c r="D173" s="53" t="s">
        <v>239</v>
      </c>
      <c r="E173" s="6"/>
      <c r="F173" s="6">
        <f>94542</f>
        <v>94542</v>
      </c>
      <c r="G173" s="5">
        <f>94542</f>
        <v>94542</v>
      </c>
      <c r="H173" s="6">
        <f>94542</f>
        <v>94542</v>
      </c>
      <c r="I173" s="82">
        <f>H173/G173*100</f>
        <v>100</v>
      </c>
      <c r="J173" s="6"/>
    </row>
    <row r="174" spans="1:10" ht="18" customHeight="1" x14ac:dyDescent="0.25">
      <c r="A174" s="49"/>
      <c r="B174" s="19"/>
      <c r="C174" s="62"/>
      <c r="D174" s="85"/>
      <c r="E174" s="6"/>
      <c r="F174" s="6"/>
      <c r="G174" s="5"/>
      <c r="H174" s="6"/>
      <c r="I174" s="82"/>
      <c r="J174" s="6"/>
    </row>
    <row r="175" spans="1:10" ht="18" customHeight="1" x14ac:dyDescent="0.25">
      <c r="A175" s="18" t="s">
        <v>53</v>
      </c>
      <c r="B175" s="100">
        <v>8230</v>
      </c>
      <c r="C175" s="62"/>
      <c r="D175" s="85"/>
      <c r="E175" s="10">
        <f t="shared" ref="E175:H176" si="9">E176</f>
        <v>30000000</v>
      </c>
      <c r="F175" s="10">
        <f t="shared" si="9"/>
        <v>29905458</v>
      </c>
      <c r="G175" s="10">
        <f t="shared" si="9"/>
        <v>19905458</v>
      </c>
      <c r="H175" s="10">
        <f t="shared" si="9"/>
        <v>13637500.130000001</v>
      </c>
      <c r="I175" s="24">
        <f>H175/G175*100</f>
        <v>68.511360703180003</v>
      </c>
      <c r="J175" s="45"/>
    </row>
    <row r="176" spans="1:10" ht="18" customHeight="1" x14ac:dyDescent="0.25">
      <c r="A176" s="49"/>
      <c r="B176" s="19"/>
      <c r="C176" s="62"/>
      <c r="D176" s="318" t="s">
        <v>13</v>
      </c>
      <c r="E176" s="10">
        <f t="shared" si="9"/>
        <v>30000000</v>
      </c>
      <c r="F176" s="10">
        <f>SUM(F177:F178)</f>
        <v>29905458</v>
      </c>
      <c r="G176" s="10">
        <f>SUM(G177:G178)</f>
        <v>19905458</v>
      </c>
      <c r="H176" s="10">
        <f>SUM(H177:H178)</f>
        <v>13637500.130000001</v>
      </c>
      <c r="I176" s="24">
        <f>H176/G176*100</f>
        <v>68.511360703180003</v>
      </c>
      <c r="J176" s="45"/>
    </row>
    <row r="177" spans="1:10" ht="37.5" x14ac:dyDescent="0.25">
      <c r="A177" s="49"/>
      <c r="B177" s="19"/>
      <c r="C177" s="62"/>
      <c r="D177" s="85" t="s">
        <v>233</v>
      </c>
      <c r="E177" s="6">
        <f>30000000</f>
        <v>30000000</v>
      </c>
      <c r="F177" s="6">
        <f>30000000-94542</f>
        <v>29905458</v>
      </c>
      <c r="G177" s="104">
        <f>5000000+10000000+4905458</f>
        <v>19905458</v>
      </c>
      <c r="H177" s="6">
        <f>4997500+8640000.13</f>
        <v>13637500.130000001</v>
      </c>
      <c r="I177" s="82">
        <f>H177/G177*100</f>
        <v>68.511360703180003</v>
      </c>
      <c r="J177" s="6"/>
    </row>
    <row r="178" spans="1:10" ht="11.25" customHeight="1" x14ac:dyDescent="0.25">
      <c r="A178" s="49"/>
      <c r="B178" s="19"/>
      <c r="C178" s="62"/>
      <c r="D178" s="55"/>
      <c r="E178" s="6"/>
      <c r="F178" s="6"/>
      <c r="G178" s="104"/>
      <c r="H178" s="6"/>
      <c r="I178" s="82"/>
      <c r="J178" s="6"/>
    </row>
    <row r="179" spans="1:10" ht="18" customHeight="1" x14ac:dyDescent="0.25">
      <c r="A179" s="18" t="s">
        <v>54</v>
      </c>
      <c r="B179" s="100">
        <v>8240</v>
      </c>
      <c r="C179" s="62"/>
      <c r="D179" s="240"/>
      <c r="E179" s="10">
        <f t="shared" ref="E179:H180" si="10">E180</f>
        <v>5000000</v>
      </c>
      <c r="F179" s="10">
        <f t="shared" si="10"/>
        <v>5000000</v>
      </c>
      <c r="G179" s="105">
        <f t="shared" si="10"/>
        <v>5000000</v>
      </c>
      <c r="H179" s="10">
        <f t="shared" si="10"/>
        <v>0</v>
      </c>
      <c r="I179" s="24">
        <f>H179/G179*100</f>
        <v>0</v>
      </c>
      <c r="J179" s="45"/>
    </row>
    <row r="180" spans="1:10" ht="18" customHeight="1" x14ac:dyDescent="0.25">
      <c r="A180" s="49"/>
      <c r="B180" s="19"/>
      <c r="C180" s="62"/>
      <c r="D180" s="318" t="s">
        <v>13</v>
      </c>
      <c r="E180" s="10">
        <f t="shared" si="10"/>
        <v>5000000</v>
      </c>
      <c r="F180" s="10">
        <f t="shared" si="10"/>
        <v>5000000</v>
      </c>
      <c r="G180" s="105">
        <f t="shared" si="10"/>
        <v>5000000</v>
      </c>
      <c r="H180" s="10">
        <f t="shared" si="10"/>
        <v>0</v>
      </c>
      <c r="I180" s="24">
        <f>H180/G180*100</f>
        <v>0</v>
      </c>
      <c r="J180" s="45"/>
    </row>
    <row r="181" spans="1:10" ht="56.25" x14ac:dyDescent="0.25">
      <c r="A181" s="49"/>
      <c r="B181" s="19"/>
      <c r="C181" s="62"/>
      <c r="D181" s="85" t="s">
        <v>157</v>
      </c>
      <c r="E181" s="6">
        <f>5000000</f>
        <v>5000000</v>
      </c>
      <c r="F181" s="6">
        <f>5000000</f>
        <v>5000000</v>
      </c>
      <c r="G181" s="104">
        <f>5000000-5000000+5000000</f>
        <v>5000000</v>
      </c>
      <c r="H181" s="6"/>
      <c r="I181" s="82">
        <f>H181/G181*100</f>
        <v>0</v>
      </c>
      <c r="J181" s="6"/>
    </row>
    <row r="182" spans="1:10" ht="11.25" customHeight="1" x14ac:dyDescent="0.25">
      <c r="A182" s="49"/>
      <c r="B182" s="19"/>
      <c r="C182" s="62"/>
      <c r="D182" s="53"/>
      <c r="E182" s="6"/>
      <c r="F182" s="6"/>
      <c r="G182" s="104"/>
      <c r="H182" s="6"/>
      <c r="I182" s="82"/>
      <c r="J182" s="6"/>
    </row>
    <row r="183" spans="1:10" ht="24" hidden="1" customHeight="1" x14ac:dyDescent="0.25">
      <c r="A183" s="18" t="s">
        <v>55</v>
      </c>
      <c r="B183" s="100">
        <v>8775</v>
      </c>
      <c r="C183" s="62"/>
      <c r="D183" s="85"/>
      <c r="E183" s="10">
        <f t="shared" ref="E183:G184" si="11">E184</f>
        <v>0</v>
      </c>
      <c r="F183" s="10">
        <f t="shared" si="11"/>
        <v>0</v>
      </c>
      <c r="G183" s="105">
        <f t="shared" si="11"/>
        <v>0</v>
      </c>
      <c r="H183" s="45" t="e">
        <f>G183-#REF!</f>
        <v>#REF!</v>
      </c>
      <c r="I183" s="82" t="e">
        <f t="shared" ref="I183:I201" si="12">H183/G183*100</f>
        <v>#REF!</v>
      </c>
      <c r="J183" s="45"/>
    </row>
    <row r="184" spans="1:10" ht="18" hidden="1" customHeight="1" x14ac:dyDescent="0.25">
      <c r="A184" s="49"/>
      <c r="B184" s="19"/>
      <c r="C184" s="62"/>
      <c r="D184" s="318" t="s">
        <v>13</v>
      </c>
      <c r="E184" s="10">
        <f t="shared" si="11"/>
        <v>0</v>
      </c>
      <c r="F184" s="10">
        <f t="shared" si="11"/>
        <v>0</v>
      </c>
      <c r="G184" s="105">
        <f t="shared" si="11"/>
        <v>0</v>
      </c>
      <c r="H184" s="45" t="e">
        <f>G184-#REF!</f>
        <v>#REF!</v>
      </c>
      <c r="I184" s="82" t="e">
        <f t="shared" si="12"/>
        <v>#REF!</v>
      </c>
      <c r="J184" s="45"/>
    </row>
    <row r="185" spans="1:10" ht="26.25" hidden="1" customHeight="1" x14ac:dyDescent="0.25">
      <c r="A185" s="49"/>
      <c r="B185" s="19"/>
      <c r="C185" s="62"/>
      <c r="D185" s="53"/>
      <c r="E185" s="6"/>
      <c r="F185" s="6"/>
      <c r="G185" s="104"/>
      <c r="H185" s="6" t="e">
        <f>G185-#REF!</f>
        <v>#REF!</v>
      </c>
      <c r="I185" s="82" t="e">
        <f t="shared" si="12"/>
        <v>#REF!</v>
      </c>
      <c r="J185" s="6"/>
    </row>
    <row r="186" spans="1:10" ht="18" hidden="1" customHeight="1" x14ac:dyDescent="0.25">
      <c r="A186" s="49"/>
      <c r="B186" s="19"/>
      <c r="C186" s="62"/>
      <c r="D186" s="53"/>
      <c r="E186" s="6"/>
      <c r="F186" s="6"/>
      <c r="G186" s="104"/>
      <c r="H186" s="6"/>
      <c r="I186" s="82" t="e">
        <f t="shared" si="12"/>
        <v>#DIV/0!</v>
      </c>
      <c r="J186" s="6"/>
    </row>
    <row r="187" spans="1:10" ht="19.5" customHeight="1" x14ac:dyDescent="0.25">
      <c r="A187" s="18" t="s">
        <v>56</v>
      </c>
      <c r="B187" s="100">
        <v>9800</v>
      </c>
      <c r="C187" s="62"/>
      <c r="D187" s="85"/>
      <c r="E187" s="10">
        <f>E188</f>
        <v>32000000</v>
      </c>
      <c r="F187" s="10">
        <f>F188</f>
        <v>32000000</v>
      </c>
      <c r="G187" s="105">
        <f>G188</f>
        <v>16000000</v>
      </c>
      <c r="H187" s="10">
        <f>H188</f>
        <v>0</v>
      </c>
      <c r="I187" s="24">
        <f t="shared" si="12"/>
        <v>0</v>
      </c>
      <c r="J187" s="10"/>
    </row>
    <row r="188" spans="1:10" ht="23.25" customHeight="1" x14ac:dyDescent="0.25">
      <c r="A188" s="49"/>
      <c r="B188" s="19"/>
      <c r="C188" s="62"/>
      <c r="D188" s="318" t="s">
        <v>57</v>
      </c>
      <c r="E188" s="10">
        <f>E189</f>
        <v>32000000</v>
      </c>
      <c r="F188" s="10">
        <f>SUM(F189:F198)</f>
        <v>32000000</v>
      </c>
      <c r="G188" s="105">
        <f>SUM(G189:G198)</f>
        <v>16000000</v>
      </c>
      <c r="H188" s="10">
        <f>H189</f>
        <v>0</v>
      </c>
      <c r="I188" s="24">
        <f t="shared" si="12"/>
        <v>0</v>
      </c>
      <c r="J188" s="10"/>
    </row>
    <row r="189" spans="1:10" ht="76.5" customHeight="1" x14ac:dyDescent="0.25">
      <c r="A189" s="18"/>
      <c r="B189" s="100"/>
      <c r="C189" s="62"/>
      <c r="D189" s="9" t="s">
        <v>158</v>
      </c>
      <c r="E189" s="5">
        <f>32000000</f>
        <v>32000000</v>
      </c>
      <c r="F189" s="5">
        <f>32000000</f>
        <v>32000000</v>
      </c>
      <c r="G189" s="104">
        <f>4000000-3000000+4000000+7000000+4000000</f>
        <v>16000000</v>
      </c>
      <c r="H189" s="6"/>
      <c r="I189" s="82">
        <f t="shared" si="12"/>
        <v>0</v>
      </c>
      <c r="J189" s="6"/>
    </row>
    <row r="190" spans="1:10" ht="21" hidden="1" customHeight="1" x14ac:dyDescent="0.3">
      <c r="A190" s="18"/>
      <c r="B190" s="100"/>
      <c r="C190" s="62"/>
      <c r="D190" s="1"/>
      <c r="E190" s="5"/>
      <c r="F190" s="5"/>
      <c r="G190" s="5"/>
      <c r="H190" s="6" t="e">
        <f>G190-#REF!</f>
        <v>#REF!</v>
      </c>
      <c r="I190" s="82" t="e">
        <f t="shared" si="12"/>
        <v>#REF!</v>
      </c>
      <c r="J190" s="6"/>
    </row>
    <row r="191" spans="1:10" ht="21" hidden="1" customHeight="1" x14ac:dyDescent="0.25">
      <c r="A191" s="18"/>
      <c r="B191" s="100"/>
      <c r="C191" s="62"/>
      <c r="D191" s="93"/>
      <c r="E191" s="5"/>
      <c r="F191" s="5"/>
      <c r="G191" s="5"/>
      <c r="H191" s="6" t="e">
        <f>G191-#REF!</f>
        <v>#REF!</v>
      </c>
      <c r="I191" s="82" t="e">
        <f t="shared" si="12"/>
        <v>#REF!</v>
      </c>
      <c r="J191" s="6"/>
    </row>
    <row r="192" spans="1:10" ht="21" hidden="1" customHeight="1" x14ac:dyDescent="0.25">
      <c r="A192" s="18"/>
      <c r="B192" s="100"/>
      <c r="C192" s="62"/>
      <c r="D192" s="93"/>
      <c r="E192" s="5"/>
      <c r="F192" s="5"/>
      <c r="G192" s="5"/>
      <c r="H192" s="6" t="e">
        <f>G192-#REF!</f>
        <v>#REF!</v>
      </c>
      <c r="I192" s="82" t="e">
        <f t="shared" si="12"/>
        <v>#REF!</v>
      </c>
      <c r="J192" s="6"/>
    </row>
    <row r="193" spans="1:10" ht="21" hidden="1" customHeight="1" x14ac:dyDescent="0.25">
      <c r="A193" s="18"/>
      <c r="B193" s="100"/>
      <c r="C193" s="62"/>
      <c r="D193" s="210"/>
      <c r="E193" s="5"/>
      <c r="F193" s="5"/>
      <c r="G193" s="5"/>
      <c r="H193" s="6" t="e">
        <f>G193-#REF!</f>
        <v>#REF!</v>
      </c>
      <c r="I193" s="82" t="e">
        <f t="shared" si="12"/>
        <v>#REF!</v>
      </c>
      <c r="J193" s="6"/>
    </row>
    <row r="194" spans="1:10" ht="21" hidden="1" customHeight="1" x14ac:dyDescent="0.25">
      <c r="A194" s="18"/>
      <c r="B194" s="100"/>
      <c r="C194" s="62"/>
      <c r="D194" s="93"/>
      <c r="E194" s="5"/>
      <c r="F194" s="5"/>
      <c r="G194" s="5"/>
      <c r="H194" s="6" t="e">
        <f>G194-#REF!</f>
        <v>#REF!</v>
      </c>
      <c r="I194" s="82" t="e">
        <f t="shared" si="12"/>
        <v>#REF!</v>
      </c>
      <c r="J194" s="6"/>
    </row>
    <row r="195" spans="1:10" ht="21" hidden="1" customHeight="1" x14ac:dyDescent="0.3">
      <c r="A195" s="49"/>
      <c r="B195" s="19"/>
      <c r="C195" s="62"/>
      <c r="D195" s="321"/>
      <c r="E195" s="6"/>
      <c r="F195" s="6"/>
      <c r="G195" s="5"/>
      <c r="H195" s="6" t="e">
        <f>G195-#REF!</f>
        <v>#REF!</v>
      </c>
      <c r="I195" s="82" t="e">
        <f t="shared" si="12"/>
        <v>#REF!</v>
      </c>
      <c r="J195" s="6"/>
    </row>
    <row r="196" spans="1:10" ht="21" hidden="1" customHeight="1" x14ac:dyDescent="0.25">
      <c r="A196" s="49"/>
      <c r="B196" s="19"/>
      <c r="C196" s="62"/>
      <c r="D196" s="54"/>
      <c r="E196" s="6"/>
      <c r="F196" s="6"/>
      <c r="G196" s="6"/>
      <c r="H196" s="6" t="e">
        <f>G196-#REF!</f>
        <v>#REF!</v>
      </c>
      <c r="I196" s="82" t="e">
        <f t="shared" si="12"/>
        <v>#REF!</v>
      </c>
      <c r="J196" s="6"/>
    </row>
    <row r="197" spans="1:10" ht="23.25" hidden="1" customHeight="1" x14ac:dyDescent="0.3">
      <c r="A197" s="49"/>
      <c r="B197" s="19"/>
      <c r="C197" s="62"/>
      <c r="D197" s="321"/>
      <c r="E197" s="6"/>
      <c r="F197" s="6"/>
      <c r="G197" s="6"/>
      <c r="H197" s="6" t="e">
        <f>G197-#REF!</f>
        <v>#REF!</v>
      </c>
      <c r="I197" s="82" t="e">
        <f t="shared" si="12"/>
        <v>#REF!</v>
      </c>
      <c r="J197" s="6"/>
    </row>
    <row r="198" spans="1:10" ht="23.25" hidden="1" customHeight="1" x14ac:dyDescent="0.3">
      <c r="A198" s="49"/>
      <c r="B198" s="19"/>
      <c r="C198" s="62"/>
      <c r="D198" s="321"/>
      <c r="E198" s="6"/>
      <c r="F198" s="6"/>
      <c r="G198" s="6"/>
      <c r="H198" s="6" t="e">
        <f>H199</f>
        <v>#REF!</v>
      </c>
      <c r="I198" s="82" t="e">
        <f t="shared" si="12"/>
        <v>#REF!</v>
      </c>
      <c r="J198" s="6"/>
    </row>
    <row r="199" spans="1:10" ht="23.25" hidden="1" customHeight="1" x14ac:dyDescent="0.3">
      <c r="A199" s="49"/>
      <c r="B199" s="19"/>
      <c r="C199" s="62"/>
      <c r="D199" s="106"/>
      <c r="E199" s="6"/>
      <c r="F199" s="107"/>
      <c r="G199" s="107"/>
      <c r="H199" s="107" t="e">
        <f>G199-#REF!</f>
        <v>#REF!</v>
      </c>
      <c r="I199" s="82" t="e">
        <f t="shared" si="12"/>
        <v>#REF!</v>
      </c>
      <c r="J199" s="107"/>
    </row>
    <row r="200" spans="1:10" ht="23.25" hidden="1" customHeight="1" x14ac:dyDescent="0.3">
      <c r="A200" s="49"/>
      <c r="B200" s="19"/>
      <c r="C200" s="62"/>
      <c r="D200" s="106"/>
      <c r="E200" s="108"/>
      <c r="F200" s="108"/>
      <c r="G200" s="108"/>
      <c r="H200" s="6" t="e">
        <f>G200-#REF!</f>
        <v>#REF!</v>
      </c>
      <c r="I200" s="82" t="e">
        <f t="shared" si="12"/>
        <v>#REF!</v>
      </c>
      <c r="J200" s="6"/>
    </row>
    <row r="201" spans="1:10" ht="23.25" hidden="1" customHeight="1" x14ac:dyDescent="0.3">
      <c r="A201" s="49"/>
      <c r="B201" s="19"/>
      <c r="C201" s="62"/>
      <c r="D201" s="106"/>
      <c r="E201" s="108"/>
      <c r="F201" s="108"/>
      <c r="G201" s="108"/>
      <c r="H201" s="6" t="e">
        <f>G201-#REF!</f>
        <v>#REF!</v>
      </c>
      <c r="I201" s="82" t="e">
        <f t="shared" si="12"/>
        <v>#REF!</v>
      </c>
      <c r="J201" s="6"/>
    </row>
    <row r="202" spans="1:10" ht="14.25" customHeight="1" x14ac:dyDescent="0.25">
      <c r="A202" s="49"/>
      <c r="B202" s="19"/>
      <c r="C202" s="62"/>
      <c r="D202" s="317"/>
      <c r="E202" s="5"/>
      <c r="F202" s="5"/>
      <c r="G202" s="5"/>
      <c r="H202" s="6"/>
      <c r="I202" s="82"/>
      <c r="J202" s="6"/>
    </row>
    <row r="203" spans="1:10" ht="30" hidden="1" customHeight="1" x14ac:dyDescent="0.25">
      <c r="A203" s="84">
        <v>117370</v>
      </c>
      <c r="B203" s="84">
        <v>7370</v>
      </c>
      <c r="C203" s="99"/>
      <c r="D203" s="63"/>
      <c r="E203" s="64">
        <f>E204</f>
        <v>0</v>
      </c>
      <c r="F203" s="64">
        <f>F204</f>
        <v>0</v>
      </c>
      <c r="G203" s="64">
        <f>G204</f>
        <v>0</v>
      </c>
      <c r="H203" s="64" t="e">
        <f>H204</f>
        <v>#REF!</v>
      </c>
      <c r="I203" s="82" t="e">
        <f t="shared" ref="I203:I234" si="13">H203/G203*100</f>
        <v>#REF!</v>
      </c>
      <c r="J203" s="6"/>
    </row>
    <row r="204" spans="1:10" ht="31.5" hidden="1" customHeight="1" x14ac:dyDescent="0.3">
      <c r="A204" s="109"/>
      <c r="B204" s="84"/>
      <c r="C204" s="99"/>
      <c r="D204" s="68" t="s">
        <v>16</v>
      </c>
      <c r="E204" s="10">
        <f>E205</f>
        <v>0</v>
      </c>
      <c r="F204" s="10">
        <f>F205</f>
        <v>0</v>
      </c>
      <c r="G204" s="10">
        <f>G205</f>
        <v>0</v>
      </c>
      <c r="H204" s="10" t="e">
        <f>SUM(H205)</f>
        <v>#REF!</v>
      </c>
      <c r="I204" s="82" t="e">
        <f t="shared" si="13"/>
        <v>#REF!</v>
      </c>
      <c r="J204" s="6"/>
    </row>
    <row r="205" spans="1:10" ht="42.75" hidden="1" customHeight="1" x14ac:dyDescent="0.25">
      <c r="A205" s="109"/>
      <c r="B205" s="97"/>
      <c r="C205" s="95"/>
      <c r="D205" s="85"/>
      <c r="E205" s="110"/>
      <c r="F205" s="6"/>
      <c r="G205" s="5"/>
      <c r="H205" s="6" t="e">
        <f>G205-#REF!</f>
        <v>#REF!</v>
      </c>
      <c r="I205" s="82" t="e">
        <f t="shared" si="13"/>
        <v>#REF!</v>
      </c>
      <c r="J205" s="6"/>
    </row>
    <row r="206" spans="1:10" ht="19.5" hidden="1" customHeight="1" x14ac:dyDescent="0.25">
      <c r="A206" s="109"/>
      <c r="B206" s="97"/>
      <c r="C206" s="99"/>
      <c r="D206" s="85"/>
      <c r="E206" s="72"/>
      <c r="F206" s="111"/>
      <c r="G206" s="112"/>
      <c r="H206" s="111"/>
      <c r="I206" s="82" t="e">
        <f t="shared" si="13"/>
        <v>#DIV/0!</v>
      </c>
      <c r="J206" s="6"/>
    </row>
    <row r="207" spans="1:10" ht="31.5" hidden="1" customHeight="1" x14ac:dyDescent="0.25">
      <c r="A207" s="84" t="s">
        <v>52</v>
      </c>
      <c r="B207" s="84">
        <v>8311</v>
      </c>
      <c r="C207" s="99"/>
      <c r="D207" s="63"/>
      <c r="E207" s="59">
        <f t="shared" ref="E207:H208" si="14">E208</f>
        <v>0</v>
      </c>
      <c r="F207" s="59">
        <f t="shared" si="14"/>
        <v>0</v>
      </c>
      <c r="G207" s="59">
        <f t="shared" si="14"/>
        <v>0</v>
      </c>
      <c r="H207" s="59" t="e">
        <f t="shared" si="14"/>
        <v>#REF!</v>
      </c>
      <c r="I207" s="82" t="e">
        <f t="shared" si="13"/>
        <v>#REF!</v>
      </c>
      <c r="J207" s="6"/>
    </row>
    <row r="208" spans="1:10" ht="31.5" hidden="1" customHeight="1" x14ac:dyDescent="0.3">
      <c r="A208" s="109"/>
      <c r="B208" s="95"/>
      <c r="C208" s="99"/>
      <c r="D208" s="68" t="s">
        <v>16</v>
      </c>
      <c r="E208" s="113">
        <f t="shared" si="14"/>
        <v>0</v>
      </c>
      <c r="F208" s="113">
        <f t="shared" si="14"/>
        <v>0</v>
      </c>
      <c r="G208" s="113">
        <f t="shared" si="14"/>
        <v>0</v>
      </c>
      <c r="H208" s="113" t="e">
        <f t="shared" si="14"/>
        <v>#REF!</v>
      </c>
      <c r="I208" s="82" t="e">
        <f t="shared" si="13"/>
        <v>#REF!</v>
      </c>
      <c r="J208" s="6"/>
    </row>
    <row r="209" spans="1:10" ht="31.5" hidden="1" customHeight="1" x14ac:dyDescent="0.25">
      <c r="A209" s="109"/>
      <c r="B209" s="95"/>
      <c r="C209" s="99"/>
      <c r="D209" s="63"/>
      <c r="E209" s="72"/>
      <c r="F209" s="114"/>
      <c r="G209" s="5"/>
      <c r="H209" s="6" t="e">
        <f>G209-#REF!</f>
        <v>#REF!</v>
      </c>
      <c r="I209" s="82" t="e">
        <f t="shared" si="13"/>
        <v>#REF!</v>
      </c>
      <c r="J209" s="6"/>
    </row>
    <row r="210" spans="1:10" ht="31.5" hidden="1" customHeight="1" x14ac:dyDescent="0.3">
      <c r="A210" s="115"/>
      <c r="B210" s="116"/>
      <c r="C210" s="117"/>
      <c r="D210" s="118"/>
      <c r="E210" s="76"/>
      <c r="F210" s="76"/>
      <c r="G210" s="76"/>
      <c r="H210" s="76"/>
      <c r="I210" s="82" t="e">
        <f t="shared" si="13"/>
        <v>#DIV/0!</v>
      </c>
      <c r="J210" s="6"/>
    </row>
    <row r="211" spans="1:10" ht="26.25" customHeight="1" x14ac:dyDescent="0.25">
      <c r="A211" s="119" t="s">
        <v>58</v>
      </c>
      <c r="B211" s="97"/>
      <c r="C211" s="120"/>
      <c r="D211" s="121" t="s">
        <v>59</v>
      </c>
      <c r="E211" s="122">
        <f>E212+E219+E253+E270+E278+E283</f>
        <v>4000000</v>
      </c>
      <c r="F211" s="122">
        <f>F212+F219+F253+F270+F278+F283</f>
        <v>17593482</v>
      </c>
      <c r="G211" s="122">
        <f>G212+G219+G253+G270+G278+G283</f>
        <v>5208153</v>
      </c>
      <c r="H211" s="122">
        <f>H253+H283</f>
        <v>693481.2</v>
      </c>
      <c r="I211" s="24">
        <f t="shared" si="13"/>
        <v>13.315300068949586</v>
      </c>
      <c r="J211" s="6"/>
    </row>
    <row r="212" spans="1:10" ht="34.5" hidden="1" customHeight="1" x14ac:dyDescent="0.25">
      <c r="A212" s="123" t="s">
        <v>60</v>
      </c>
      <c r="B212" s="124" t="s">
        <v>61</v>
      </c>
      <c r="C212" s="125"/>
      <c r="D212" s="121"/>
      <c r="E212" s="19">
        <f>E213+E216</f>
        <v>0</v>
      </c>
      <c r="F212" s="126">
        <f>F213+F216</f>
        <v>0</v>
      </c>
      <c r="G212" s="126">
        <f>G213+G216</f>
        <v>0</v>
      </c>
      <c r="H212" s="126" t="e">
        <f>H213+H216</f>
        <v>#REF!</v>
      </c>
      <c r="I212" s="24" t="e">
        <f t="shared" si="13"/>
        <v>#REF!</v>
      </c>
      <c r="J212" s="6"/>
    </row>
    <row r="213" spans="1:10" ht="28.5" hidden="1" customHeight="1" x14ac:dyDescent="0.3">
      <c r="A213" s="123"/>
      <c r="B213" s="97"/>
      <c r="C213" s="125"/>
      <c r="D213" s="68" t="s">
        <v>13</v>
      </c>
      <c r="E213" s="69">
        <f>SUM(E214)</f>
        <v>0</v>
      </c>
      <c r="F213" s="45">
        <f>SUM(F214:F215)</f>
        <v>0</v>
      </c>
      <c r="G213" s="45">
        <f>SUM(G214:G215)</f>
        <v>0</v>
      </c>
      <c r="H213" s="45" t="e">
        <f>SUM(H214:H215)</f>
        <v>#REF!</v>
      </c>
      <c r="I213" s="24" t="e">
        <f t="shared" si="13"/>
        <v>#REF!</v>
      </c>
      <c r="J213" s="6"/>
    </row>
    <row r="214" spans="1:10" ht="24" hidden="1" customHeight="1" x14ac:dyDescent="0.25">
      <c r="A214" s="109"/>
      <c r="B214" s="97"/>
      <c r="C214" s="125"/>
      <c r="D214" s="4"/>
      <c r="E214" s="7"/>
      <c r="F214" s="7"/>
      <c r="G214" s="5"/>
      <c r="H214" s="6" t="e">
        <f>G214-#REF!</f>
        <v>#REF!</v>
      </c>
      <c r="I214" s="24" t="e">
        <f t="shared" si="13"/>
        <v>#REF!</v>
      </c>
      <c r="J214" s="6"/>
    </row>
    <row r="215" spans="1:10" ht="16.5" hidden="1" customHeight="1" x14ac:dyDescent="0.25">
      <c r="A215" s="109"/>
      <c r="B215" s="97"/>
      <c r="C215" s="125"/>
      <c r="D215" s="54"/>
      <c r="E215" s="6"/>
      <c r="F215" s="5"/>
      <c r="G215" s="5"/>
      <c r="H215" s="6" t="e">
        <f>G215-#REF!</f>
        <v>#REF!</v>
      </c>
      <c r="I215" s="24" t="e">
        <f t="shared" si="13"/>
        <v>#REF!</v>
      </c>
      <c r="J215" s="6"/>
    </row>
    <row r="216" spans="1:10" ht="30.75" hidden="1" customHeight="1" x14ac:dyDescent="0.3">
      <c r="A216" s="109"/>
      <c r="B216" s="97"/>
      <c r="C216" s="125"/>
      <c r="D216" s="68" t="s">
        <v>15</v>
      </c>
      <c r="E216" s="10">
        <f>SUM(E217:E217)</f>
        <v>0</v>
      </c>
      <c r="F216" s="10">
        <f>SUM(F217:F217)</f>
        <v>0</v>
      </c>
      <c r="G216" s="10">
        <f>SUM(G217:G217)</f>
        <v>0</v>
      </c>
      <c r="H216" s="10" t="e">
        <f>SUM(H217:H217)</f>
        <v>#REF!</v>
      </c>
      <c r="I216" s="24" t="e">
        <f t="shared" si="13"/>
        <v>#REF!</v>
      </c>
      <c r="J216" s="6"/>
    </row>
    <row r="217" spans="1:10" ht="43.5" hidden="1" customHeight="1" x14ac:dyDescent="0.25">
      <c r="A217" s="109"/>
      <c r="B217" s="123"/>
      <c r="C217" s="125"/>
      <c r="D217" s="54"/>
      <c r="E217" s="7"/>
      <c r="F217" s="5"/>
      <c r="G217" s="5"/>
      <c r="H217" s="6" t="e">
        <f>G217-#REF!</f>
        <v>#REF!</v>
      </c>
      <c r="I217" s="24" t="e">
        <f t="shared" si="13"/>
        <v>#REF!</v>
      </c>
      <c r="J217" s="6"/>
    </row>
    <row r="218" spans="1:10" ht="25.5" hidden="1" customHeight="1" x14ac:dyDescent="0.25">
      <c r="A218" s="109"/>
      <c r="B218" s="123"/>
      <c r="C218" s="127"/>
      <c r="D218" s="128"/>
      <c r="E218" s="72"/>
      <c r="F218" s="112"/>
      <c r="G218" s="112"/>
      <c r="H218" s="111"/>
      <c r="I218" s="24" t="e">
        <f t="shared" si="13"/>
        <v>#DIV/0!</v>
      </c>
      <c r="J218" s="6"/>
    </row>
    <row r="219" spans="1:10" ht="22.5" hidden="1" customHeight="1" x14ac:dyDescent="0.25">
      <c r="A219" s="123" t="s">
        <v>62</v>
      </c>
      <c r="B219" s="123" t="s">
        <v>63</v>
      </c>
      <c r="C219" s="129"/>
      <c r="D219" s="130"/>
      <c r="E219" s="131">
        <f>E220+E223</f>
        <v>0</v>
      </c>
      <c r="F219" s="131">
        <f>F220+F223+F250</f>
        <v>0</v>
      </c>
      <c r="G219" s="131">
        <f>G220+G223+G250</f>
        <v>0</v>
      </c>
      <c r="H219" s="131" t="e">
        <f>H220+H223+H250</f>
        <v>#REF!</v>
      </c>
      <c r="I219" s="24" t="e">
        <f t="shared" si="13"/>
        <v>#REF!</v>
      </c>
      <c r="J219" s="6"/>
    </row>
    <row r="220" spans="1:10" ht="21" hidden="1" customHeight="1" x14ac:dyDescent="0.3">
      <c r="A220" s="109"/>
      <c r="B220" s="123"/>
      <c r="C220" s="129"/>
      <c r="D220" s="68" t="s">
        <v>13</v>
      </c>
      <c r="E220" s="132">
        <f>SUM(E221)</f>
        <v>0</v>
      </c>
      <c r="F220" s="132">
        <f>SUM(F221)</f>
        <v>0</v>
      </c>
      <c r="G220" s="132">
        <f>SUM(G221)</f>
        <v>0</v>
      </c>
      <c r="H220" s="132" t="e">
        <f>SUM(H221)</f>
        <v>#REF!</v>
      </c>
      <c r="I220" s="24" t="e">
        <f t="shared" si="13"/>
        <v>#REF!</v>
      </c>
      <c r="J220" s="6"/>
    </row>
    <row r="221" spans="1:10" ht="21" hidden="1" customHeight="1" x14ac:dyDescent="0.25">
      <c r="A221" s="109"/>
      <c r="B221" s="97"/>
      <c r="C221" s="125"/>
      <c r="D221" s="4"/>
      <c r="E221" s="7"/>
      <c r="F221" s="7"/>
      <c r="G221" s="5"/>
      <c r="H221" s="6" t="e">
        <f>G221-#REF!</f>
        <v>#REF!</v>
      </c>
      <c r="I221" s="24" t="e">
        <f t="shared" si="13"/>
        <v>#REF!</v>
      </c>
      <c r="J221" s="6"/>
    </row>
    <row r="222" spans="1:10" ht="12.75" hidden="1" customHeight="1" x14ac:dyDescent="0.25">
      <c r="A222" s="109"/>
      <c r="B222" s="97"/>
      <c r="C222" s="125"/>
      <c r="D222" s="9"/>
      <c r="E222" s="133"/>
      <c r="F222" s="133"/>
      <c r="G222" s="133"/>
      <c r="H222" s="134"/>
      <c r="I222" s="24" t="e">
        <f t="shared" si="13"/>
        <v>#DIV/0!</v>
      </c>
      <c r="J222" s="6"/>
    </row>
    <row r="223" spans="1:10" ht="35.25" hidden="1" customHeight="1" x14ac:dyDescent="0.3">
      <c r="A223" s="109"/>
      <c r="B223" s="97"/>
      <c r="C223" s="125"/>
      <c r="D223" s="68" t="s">
        <v>15</v>
      </c>
      <c r="E223" s="135">
        <f>SUM(E224:E252)</f>
        <v>0</v>
      </c>
      <c r="F223" s="135">
        <f>SUM(F224:F252)</f>
        <v>0</v>
      </c>
      <c r="G223" s="135">
        <f>SUM(G224:G252)</f>
        <v>0</v>
      </c>
      <c r="H223" s="135" t="e">
        <f>SUM(H224:H252)</f>
        <v>#REF!</v>
      </c>
      <c r="I223" s="24" t="e">
        <f t="shared" si="13"/>
        <v>#REF!</v>
      </c>
      <c r="J223" s="6"/>
    </row>
    <row r="224" spans="1:10" hidden="1" x14ac:dyDescent="0.3">
      <c r="A224" s="109"/>
      <c r="B224" s="123"/>
      <c r="C224" s="125"/>
      <c r="D224" s="1"/>
      <c r="E224" s="7"/>
      <c r="F224" s="136"/>
      <c r="G224" s="136"/>
      <c r="H224" s="6" t="e">
        <f>G224-#REF!</f>
        <v>#REF!</v>
      </c>
      <c r="I224" s="24" t="e">
        <f t="shared" si="13"/>
        <v>#REF!</v>
      </c>
      <c r="J224" s="6"/>
    </row>
    <row r="225" spans="1:10" ht="21" hidden="1" customHeight="1" x14ac:dyDescent="0.3">
      <c r="A225" s="109"/>
      <c r="B225" s="123"/>
      <c r="C225" s="125"/>
      <c r="D225" s="89"/>
      <c r="E225" s="7"/>
      <c r="F225" s="136"/>
      <c r="G225" s="136"/>
      <c r="H225" s="6" t="e">
        <f>G225-#REF!</f>
        <v>#REF!</v>
      </c>
      <c r="I225" s="24" t="e">
        <f t="shared" si="13"/>
        <v>#REF!</v>
      </c>
      <c r="J225" s="6"/>
    </row>
    <row r="226" spans="1:10" ht="21" hidden="1" customHeight="1" x14ac:dyDescent="0.25">
      <c r="A226" s="109"/>
      <c r="B226" s="123"/>
      <c r="C226" s="125"/>
      <c r="D226" s="316"/>
      <c r="E226" s="7"/>
      <c r="F226" s="136"/>
      <c r="G226" s="136"/>
      <c r="H226" s="6" t="e">
        <f>G226-#REF!</f>
        <v>#REF!</v>
      </c>
      <c r="I226" s="24" t="e">
        <f t="shared" si="13"/>
        <v>#REF!</v>
      </c>
      <c r="J226" s="6"/>
    </row>
    <row r="227" spans="1:10" ht="21" hidden="1" customHeight="1" x14ac:dyDescent="0.25">
      <c r="A227" s="109"/>
      <c r="B227" s="123"/>
      <c r="C227" s="125"/>
      <c r="D227" s="137"/>
      <c r="E227" s="7"/>
      <c r="F227" s="136"/>
      <c r="G227" s="136"/>
      <c r="H227" s="6" t="e">
        <f>G227-#REF!</f>
        <v>#REF!</v>
      </c>
      <c r="I227" s="24" t="e">
        <f t="shared" si="13"/>
        <v>#REF!</v>
      </c>
      <c r="J227" s="6"/>
    </row>
    <row r="228" spans="1:10" ht="21" hidden="1" customHeight="1" x14ac:dyDescent="0.25">
      <c r="A228" s="109"/>
      <c r="B228" s="123"/>
      <c r="C228" s="125"/>
      <c r="D228" s="93"/>
      <c r="E228" s="7"/>
      <c r="F228" s="136"/>
      <c r="G228" s="136"/>
      <c r="H228" s="6" t="e">
        <f>G228-#REF!</f>
        <v>#REF!</v>
      </c>
      <c r="I228" s="24" t="e">
        <f t="shared" si="13"/>
        <v>#REF!</v>
      </c>
      <c r="J228" s="6"/>
    </row>
    <row r="229" spans="1:10" ht="21" hidden="1" customHeight="1" x14ac:dyDescent="0.25">
      <c r="A229" s="109"/>
      <c r="B229" s="123"/>
      <c r="C229" s="125"/>
      <c r="D229" s="93"/>
      <c r="E229" s="7"/>
      <c r="F229" s="136"/>
      <c r="G229" s="136"/>
      <c r="H229" s="6" t="e">
        <f>G229-#REF!</f>
        <v>#REF!</v>
      </c>
      <c r="I229" s="24" t="e">
        <f t="shared" si="13"/>
        <v>#REF!</v>
      </c>
      <c r="J229" s="6"/>
    </row>
    <row r="230" spans="1:10" ht="21" hidden="1" customHeight="1" x14ac:dyDescent="0.25">
      <c r="A230" s="109"/>
      <c r="B230" s="123"/>
      <c r="C230" s="125"/>
      <c r="D230" s="93"/>
      <c r="E230" s="7"/>
      <c r="F230" s="136"/>
      <c r="G230" s="136"/>
      <c r="H230" s="6" t="e">
        <f>G230-#REF!</f>
        <v>#REF!</v>
      </c>
      <c r="I230" s="24" t="e">
        <f t="shared" si="13"/>
        <v>#REF!</v>
      </c>
      <c r="J230" s="6"/>
    </row>
    <row r="231" spans="1:10" ht="21" hidden="1" customHeight="1" x14ac:dyDescent="0.3">
      <c r="A231" s="109"/>
      <c r="B231" s="123"/>
      <c r="C231" s="125"/>
      <c r="D231" s="321"/>
      <c r="E231" s="7"/>
      <c r="F231" s="136"/>
      <c r="G231" s="136"/>
      <c r="H231" s="6" t="e">
        <f>G231-#REF!</f>
        <v>#REF!</v>
      </c>
      <c r="I231" s="24" t="e">
        <f t="shared" si="13"/>
        <v>#REF!</v>
      </c>
      <c r="J231" s="6"/>
    </row>
    <row r="232" spans="1:10" ht="21" hidden="1" customHeight="1" x14ac:dyDescent="0.25">
      <c r="A232" s="109"/>
      <c r="B232" s="123"/>
      <c r="C232" s="127"/>
      <c r="D232" s="93"/>
      <c r="E232" s="7"/>
      <c r="F232" s="7"/>
      <c r="G232" s="5"/>
      <c r="H232" s="6" t="e">
        <f>G232-#REF!</f>
        <v>#REF!</v>
      </c>
      <c r="I232" s="24" t="e">
        <f t="shared" si="13"/>
        <v>#REF!</v>
      </c>
      <c r="J232" s="6"/>
    </row>
    <row r="233" spans="1:10" ht="21.75" hidden="1" customHeight="1" x14ac:dyDescent="0.25">
      <c r="A233" s="109"/>
      <c r="B233" s="123"/>
      <c r="C233" s="127"/>
      <c r="D233" s="93"/>
      <c r="E233" s="7"/>
      <c r="F233" s="7"/>
      <c r="G233" s="5"/>
      <c r="H233" s="6" t="e">
        <f>G233-#REF!</f>
        <v>#REF!</v>
      </c>
      <c r="I233" s="24" t="e">
        <f t="shared" si="13"/>
        <v>#REF!</v>
      </c>
      <c r="J233" s="6"/>
    </row>
    <row r="234" spans="1:10" ht="21.75" hidden="1" customHeight="1" x14ac:dyDescent="0.25">
      <c r="A234" s="109"/>
      <c r="B234" s="123"/>
      <c r="C234" s="127"/>
      <c r="D234" s="322"/>
      <c r="E234" s="138"/>
      <c r="F234" s="136"/>
      <c r="G234" s="5"/>
      <c r="H234" s="6" t="e">
        <f>G234-#REF!</f>
        <v>#REF!</v>
      </c>
      <c r="I234" s="24" t="e">
        <f t="shared" si="13"/>
        <v>#REF!</v>
      </c>
      <c r="J234" s="6"/>
    </row>
    <row r="235" spans="1:10" ht="21.75" hidden="1" customHeight="1" x14ac:dyDescent="0.25">
      <c r="A235" s="109"/>
      <c r="B235" s="123"/>
      <c r="C235" s="127"/>
      <c r="D235" s="322"/>
      <c r="E235" s="138"/>
      <c r="F235" s="136"/>
      <c r="G235" s="5"/>
      <c r="H235" s="6" t="e">
        <f>G235-#REF!</f>
        <v>#REF!</v>
      </c>
      <c r="I235" s="24" t="e">
        <f t="shared" ref="I235:I257" si="15">H235/G235*100</f>
        <v>#REF!</v>
      </c>
      <c r="J235" s="6"/>
    </row>
    <row r="236" spans="1:10" ht="21.75" hidden="1" customHeight="1" x14ac:dyDescent="0.25">
      <c r="A236" s="109"/>
      <c r="B236" s="123"/>
      <c r="C236" s="127"/>
      <c r="D236" s="210"/>
      <c r="E236" s="138"/>
      <c r="F236" s="136"/>
      <c r="G236" s="5"/>
      <c r="H236" s="6" t="e">
        <f>G236-#REF!</f>
        <v>#REF!</v>
      </c>
      <c r="I236" s="24" t="e">
        <f t="shared" si="15"/>
        <v>#REF!</v>
      </c>
      <c r="J236" s="6"/>
    </row>
    <row r="237" spans="1:10" ht="21.75" hidden="1" customHeight="1" x14ac:dyDescent="0.25">
      <c r="A237" s="109"/>
      <c r="B237" s="123"/>
      <c r="C237" s="127"/>
      <c r="D237" s="210"/>
      <c r="E237" s="138"/>
      <c r="F237" s="136"/>
      <c r="G237" s="5"/>
      <c r="H237" s="6" t="e">
        <f>G237-#REF!</f>
        <v>#REF!</v>
      </c>
      <c r="I237" s="24" t="e">
        <f t="shared" si="15"/>
        <v>#REF!</v>
      </c>
      <c r="J237" s="6"/>
    </row>
    <row r="238" spans="1:10" ht="21.75" hidden="1" customHeight="1" x14ac:dyDescent="0.25">
      <c r="A238" s="109"/>
      <c r="B238" s="123"/>
      <c r="C238" s="127"/>
      <c r="D238" s="210"/>
      <c r="E238" s="138"/>
      <c r="F238" s="136"/>
      <c r="G238" s="5"/>
      <c r="H238" s="6" t="e">
        <f>G238-#REF!</f>
        <v>#REF!</v>
      </c>
      <c r="I238" s="24" t="e">
        <f t="shared" si="15"/>
        <v>#REF!</v>
      </c>
      <c r="J238" s="6"/>
    </row>
    <row r="239" spans="1:10" ht="21.75" hidden="1" customHeight="1" x14ac:dyDescent="0.25">
      <c r="A239" s="109"/>
      <c r="B239" s="123"/>
      <c r="C239" s="127"/>
      <c r="D239" s="210"/>
      <c r="E239" s="138"/>
      <c r="F239" s="136"/>
      <c r="G239" s="5"/>
      <c r="H239" s="6" t="e">
        <f>G239-#REF!</f>
        <v>#REF!</v>
      </c>
      <c r="I239" s="24" t="e">
        <f t="shared" si="15"/>
        <v>#REF!</v>
      </c>
      <c r="J239" s="6"/>
    </row>
    <row r="240" spans="1:10" ht="21.75" hidden="1" customHeight="1" x14ac:dyDescent="0.25">
      <c r="A240" s="109"/>
      <c r="B240" s="123"/>
      <c r="C240" s="127"/>
      <c r="D240" s="210"/>
      <c r="E240" s="138"/>
      <c r="F240" s="136"/>
      <c r="G240" s="5"/>
      <c r="H240" s="6" t="e">
        <f>G240-#REF!</f>
        <v>#REF!</v>
      </c>
      <c r="I240" s="24" t="e">
        <f t="shared" si="15"/>
        <v>#REF!</v>
      </c>
      <c r="J240" s="6"/>
    </row>
    <row r="241" spans="1:10" ht="21.75" hidden="1" customHeight="1" x14ac:dyDescent="0.25">
      <c r="A241" s="109"/>
      <c r="B241" s="123"/>
      <c r="C241" s="127"/>
      <c r="D241" s="210"/>
      <c r="E241" s="138"/>
      <c r="F241" s="136"/>
      <c r="G241" s="5"/>
      <c r="H241" s="6" t="e">
        <f>G241-#REF!</f>
        <v>#REF!</v>
      </c>
      <c r="I241" s="24" t="e">
        <f t="shared" si="15"/>
        <v>#REF!</v>
      </c>
      <c r="J241" s="6"/>
    </row>
    <row r="242" spans="1:10" ht="21.75" hidden="1" customHeight="1" x14ac:dyDescent="0.25">
      <c r="A242" s="109"/>
      <c r="B242" s="123"/>
      <c r="C242" s="127"/>
      <c r="D242" s="210"/>
      <c r="E242" s="138"/>
      <c r="F242" s="136"/>
      <c r="G242" s="5"/>
      <c r="H242" s="6" t="e">
        <f>G242-#REF!</f>
        <v>#REF!</v>
      </c>
      <c r="I242" s="24" t="e">
        <f t="shared" si="15"/>
        <v>#REF!</v>
      </c>
      <c r="J242" s="6"/>
    </row>
    <row r="243" spans="1:10" ht="21.75" hidden="1" customHeight="1" x14ac:dyDescent="0.25">
      <c r="A243" s="109"/>
      <c r="B243" s="123"/>
      <c r="C243" s="127"/>
      <c r="D243" s="210"/>
      <c r="E243" s="138"/>
      <c r="F243" s="136"/>
      <c r="G243" s="5"/>
      <c r="H243" s="6" t="e">
        <f>G243-#REF!</f>
        <v>#REF!</v>
      </c>
      <c r="I243" s="24" t="e">
        <f t="shared" si="15"/>
        <v>#REF!</v>
      </c>
      <c r="J243" s="6"/>
    </row>
    <row r="244" spans="1:10" ht="21.75" hidden="1" customHeight="1" x14ac:dyDescent="0.25">
      <c r="A244" s="109"/>
      <c r="B244" s="123"/>
      <c r="C244" s="127"/>
      <c r="D244" s="210"/>
      <c r="E244" s="138"/>
      <c r="F244" s="136"/>
      <c r="G244" s="5"/>
      <c r="H244" s="6" t="e">
        <f>G244-#REF!</f>
        <v>#REF!</v>
      </c>
      <c r="I244" s="24" t="e">
        <f t="shared" si="15"/>
        <v>#REF!</v>
      </c>
      <c r="J244" s="6"/>
    </row>
    <row r="245" spans="1:10" ht="21.75" hidden="1" customHeight="1" x14ac:dyDescent="0.25">
      <c r="A245" s="109"/>
      <c r="B245" s="123"/>
      <c r="C245" s="127"/>
      <c r="D245" s="93"/>
      <c r="E245" s="138"/>
      <c r="F245" s="136"/>
      <c r="G245" s="5"/>
      <c r="H245" s="6" t="e">
        <f>G245-#REF!</f>
        <v>#REF!</v>
      </c>
      <c r="I245" s="24" t="e">
        <f t="shared" si="15"/>
        <v>#REF!</v>
      </c>
      <c r="J245" s="6"/>
    </row>
    <row r="246" spans="1:10" ht="21.75" hidden="1" customHeight="1" x14ac:dyDescent="0.25">
      <c r="A246" s="109"/>
      <c r="B246" s="123"/>
      <c r="C246" s="127"/>
      <c r="D246" s="210"/>
      <c r="E246" s="138"/>
      <c r="F246" s="136"/>
      <c r="G246" s="5"/>
      <c r="H246" s="6" t="e">
        <f>G246-#REF!</f>
        <v>#REF!</v>
      </c>
      <c r="I246" s="24" t="e">
        <f t="shared" si="15"/>
        <v>#REF!</v>
      </c>
      <c r="J246" s="6"/>
    </row>
    <row r="247" spans="1:10" ht="21.75" hidden="1" customHeight="1" x14ac:dyDescent="0.25">
      <c r="A247" s="109"/>
      <c r="B247" s="123"/>
      <c r="C247" s="127"/>
      <c r="D247" s="210"/>
      <c r="E247" s="138"/>
      <c r="F247" s="136"/>
      <c r="G247" s="5"/>
      <c r="H247" s="6" t="e">
        <f>G247-#REF!</f>
        <v>#REF!</v>
      </c>
      <c r="I247" s="24" t="e">
        <f t="shared" si="15"/>
        <v>#REF!</v>
      </c>
      <c r="J247" s="6"/>
    </row>
    <row r="248" spans="1:10" ht="21.75" hidden="1" customHeight="1" x14ac:dyDescent="0.25">
      <c r="A248" s="109"/>
      <c r="B248" s="123"/>
      <c r="C248" s="127"/>
      <c r="D248" s="210"/>
      <c r="E248" s="138"/>
      <c r="F248" s="136"/>
      <c r="G248" s="5"/>
      <c r="H248" s="6" t="e">
        <f>G248-#REF!</f>
        <v>#REF!</v>
      </c>
      <c r="I248" s="24" t="e">
        <f t="shared" si="15"/>
        <v>#REF!</v>
      </c>
      <c r="J248" s="6"/>
    </row>
    <row r="249" spans="1:10" ht="21.75" hidden="1" customHeight="1" x14ac:dyDescent="0.3">
      <c r="A249" s="109"/>
      <c r="B249" s="123"/>
      <c r="C249" s="127"/>
      <c r="D249" s="89"/>
      <c r="E249" s="139"/>
      <c r="F249" s="133"/>
      <c r="G249" s="5"/>
      <c r="H249" s="6"/>
      <c r="I249" s="24" t="e">
        <f t="shared" si="15"/>
        <v>#DIV/0!</v>
      </c>
      <c r="J249" s="6"/>
    </row>
    <row r="250" spans="1:10" ht="33" hidden="1" customHeight="1" x14ac:dyDescent="0.3">
      <c r="A250" s="109"/>
      <c r="B250" s="123"/>
      <c r="C250" s="129"/>
      <c r="D250" s="140" t="s">
        <v>16</v>
      </c>
      <c r="E250" s="141"/>
      <c r="F250" s="135">
        <f>F251</f>
        <v>0</v>
      </c>
      <c r="G250" s="10">
        <f>G251</f>
        <v>0</v>
      </c>
      <c r="H250" s="45" t="e">
        <f>G250-#REF!</f>
        <v>#REF!</v>
      </c>
      <c r="I250" s="24" t="e">
        <f t="shared" si="15"/>
        <v>#REF!</v>
      </c>
      <c r="J250" s="6"/>
    </row>
    <row r="251" spans="1:10" ht="53.25" hidden="1" customHeight="1" x14ac:dyDescent="0.3">
      <c r="A251" s="109"/>
      <c r="B251" s="123"/>
      <c r="C251" s="127"/>
      <c r="D251" s="89"/>
      <c r="E251" s="139"/>
      <c r="F251" s="133"/>
      <c r="G251" s="5"/>
      <c r="H251" s="6" t="e">
        <f>G251-#REF!</f>
        <v>#REF!</v>
      </c>
      <c r="I251" s="24" t="e">
        <f t="shared" si="15"/>
        <v>#REF!</v>
      </c>
      <c r="J251" s="6"/>
    </row>
    <row r="252" spans="1:10" ht="18" hidden="1" customHeight="1" x14ac:dyDescent="0.25">
      <c r="A252" s="109"/>
      <c r="B252" s="123"/>
      <c r="C252" s="127"/>
      <c r="D252" s="63"/>
      <c r="E252" s="142"/>
      <c r="F252" s="133"/>
      <c r="G252" s="5"/>
      <c r="H252" s="6"/>
      <c r="I252" s="24" t="e">
        <f t="shared" si="15"/>
        <v>#DIV/0!</v>
      </c>
      <c r="J252" s="6"/>
    </row>
    <row r="253" spans="1:10" ht="17.25" customHeight="1" x14ac:dyDescent="0.25">
      <c r="A253" s="143" t="s">
        <v>64</v>
      </c>
      <c r="B253" s="123">
        <v>1021</v>
      </c>
      <c r="C253" s="129"/>
      <c r="D253" s="63"/>
      <c r="E253" s="64">
        <f>E254+E257</f>
        <v>4000000</v>
      </c>
      <c r="F253" s="64">
        <f>F254+F257+F267</f>
        <v>12393482</v>
      </c>
      <c r="G253" s="64">
        <f>G254+G257+G267</f>
        <v>4958153</v>
      </c>
      <c r="H253" s="64">
        <f>H257</f>
        <v>693481.2</v>
      </c>
      <c r="I253" s="24">
        <f t="shared" si="15"/>
        <v>13.986684154361512</v>
      </c>
      <c r="J253" s="64"/>
    </row>
    <row r="254" spans="1:10" ht="24" hidden="1" customHeight="1" x14ac:dyDescent="0.3">
      <c r="A254" s="109"/>
      <c r="B254" s="123"/>
      <c r="C254" s="129"/>
      <c r="D254" s="68" t="s">
        <v>13</v>
      </c>
      <c r="E254" s="10">
        <f>SUM(E255:E256)</f>
        <v>0</v>
      </c>
      <c r="F254" s="10">
        <f>SUM(F255:F256)</f>
        <v>0</v>
      </c>
      <c r="G254" s="10">
        <f>SUM(G255:G256)</f>
        <v>0</v>
      </c>
      <c r="H254" s="10" t="e">
        <f>SUM(H255:H256)</f>
        <v>#REF!</v>
      </c>
      <c r="I254" s="24" t="e">
        <f t="shared" si="15"/>
        <v>#REF!</v>
      </c>
      <c r="J254" s="10"/>
    </row>
    <row r="255" spans="1:10" ht="24.75" hidden="1" customHeight="1" x14ac:dyDescent="0.25">
      <c r="A255" s="109"/>
      <c r="B255" s="97"/>
      <c r="C255" s="125"/>
      <c r="D255" s="4"/>
      <c r="E255" s="7"/>
      <c r="F255" s="7"/>
      <c r="G255" s="5"/>
      <c r="H255" s="7" t="e">
        <f>G255-#REF!</f>
        <v>#REF!</v>
      </c>
      <c r="I255" s="24" t="e">
        <f t="shared" si="15"/>
        <v>#REF!</v>
      </c>
      <c r="J255" s="6"/>
    </row>
    <row r="256" spans="1:10" ht="14.25" hidden="1" customHeight="1" x14ac:dyDescent="0.25">
      <c r="A256" s="109"/>
      <c r="B256" s="97"/>
      <c r="C256" s="125"/>
      <c r="D256" s="128"/>
      <c r="E256" s="7"/>
      <c r="F256" s="5"/>
      <c r="G256" s="5"/>
      <c r="H256" s="6"/>
      <c r="I256" s="24" t="e">
        <f t="shared" si="15"/>
        <v>#DIV/0!</v>
      </c>
      <c r="J256" s="6"/>
    </row>
    <row r="257" spans="1:10" ht="24.75" customHeight="1" x14ac:dyDescent="0.3">
      <c r="A257" s="109"/>
      <c r="B257" s="97"/>
      <c r="C257" s="125"/>
      <c r="D257" s="68" t="s">
        <v>15</v>
      </c>
      <c r="E257" s="10">
        <f>SUM(E258:E266)</f>
        <v>4000000</v>
      </c>
      <c r="F257" s="10">
        <f>SUM(F258:F266)</f>
        <v>12393482</v>
      </c>
      <c r="G257" s="10">
        <f>SUM(G258:G266)</f>
        <v>4958153</v>
      </c>
      <c r="H257" s="10">
        <f>SUM(H258:H266)</f>
        <v>693481.2</v>
      </c>
      <c r="I257" s="24">
        <f t="shared" si="15"/>
        <v>13.986684154361512</v>
      </c>
      <c r="J257" s="10"/>
    </row>
    <row r="258" spans="1:10" ht="56.25" customHeight="1" x14ac:dyDescent="0.25">
      <c r="A258" s="109"/>
      <c r="B258" s="97"/>
      <c r="C258" s="125"/>
      <c r="D258" s="54" t="s">
        <v>240</v>
      </c>
      <c r="E258" s="5"/>
      <c r="F258" s="5">
        <f>700000</f>
        <v>700000</v>
      </c>
      <c r="G258" s="5">
        <f>700000-700000</f>
        <v>0</v>
      </c>
      <c r="H258" s="6"/>
      <c r="I258" s="82"/>
      <c r="J258" s="10"/>
    </row>
    <row r="259" spans="1:10" ht="69.75" customHeight="1" x14ac:dyDescent="0.25">
      <c r="A259" s="109"/>
      <c r="B259" s="97"/>
      <c r="C259" s="125"/>
      <c r="D259" s="8" t="s">
        <v>159</v>
      </c>
      <c r="E259" s="5">
        <f>4000000</f>
        <v>4000000</v>
      </c>
      <c r="F259" s="5">
        <f>4000000</f>
        <v>4000000</v>
      </c>
      <c r="G259" s="5">
        <f>1000000-1000000+1000000</f>
        <v>1000000</v>
      </c>
      <c r="H259" s="6"/>
      <c r="I259" s="82">
        <f>H259/G259*100</f>
        <v>0</v>
      </c>
      <c r="J259" s="6"/>
    </row>
    <row r="260" spans="1:10" ht="74.25" customHeight="1" x14ac:dyDescent="0.25">
      <c r="A260" s="109"/>
      <c r="B260" s="97"/>
      <c r="C260" s="125"/>
      <c r="D260" s="8" t="s">
        <v>208</v>
      </c>
      <c r="E260" s="10"/>
      <c r="F260" s="5">
        <f>693482</f>
        <v>693482</v>
      </c>
      <c r="G260" s="5">
        <f>693482</f>
        <v>693482</v>
      </c>
      <c r="H260" s="5">
        <f>693482-0.8</f>
        <v>693481.2</v>
      </c>
      <c r="I260" s="82">
        <f>H260/G260*100</f>
        <v>99.999884640120428</v>
      </c>
      <c r="J260" s="6"/>
    </row>
    <row r="261" spans="1:10" ht="111.75" customHeight="1" x14ac:dyDescent="0.25">
      <c r="A261" s="109"/>
      <c r="B261" s="97"/>
      <c r="C261" s="125"/>
      <c r="D261" s="8" t="s">
        <v>261</v>
      </c>
      <c r="E261" s="10"/>
      <c r="F261" s="5">
        <f>1000000</f>
        <v>1000000</v>
      </c>
      <c r="G261" s="5"/>
      <c r="H261" s="6"/>
      <c r="I261" s="82"/>
      <c r="J261" s="6"/>
    </row>
    <row r="262" spans="1:10" ht="102.75" customHeight="1" x14ac:dyDescent="0.25">
      <c r="A262" s="109"/>
      <c r="B262" s="97"/>
      <c r="C262" s="125"/>
      <c r="D262" s="210" t="s">
        <v>262</v>
      </c>
      <c r="E262" s="7"/>
      <c r="F262" s="7">
        <f>1500000</f>
        <v>1500000</v>
      </c>
      <c r="G262" s="5">
        <f>550000-550000+950000</f>
        <v>950000</v>
      </c>
      <c r="H262" s="6"/>
      <c r="I262" s="82">
        <f>H262/G262*100</f>
        <v>0</v>
      </c>
      <c r="J262" s="6"/>
    </row>
    <row r="263" spans="1:10" ht="81.75" customHeight="1" x14ac:dyDescent="0.25">
      <c r="A263" s="109"/>
      <c r="B263" s="97"/>
      <c r="C263" s="125"/>
      <c r="D263" s="210" t="s">
        <v>263</v>
      </c>
      <c r="E263" s="7"/>
      <c r="F263" s="7">
        <f>1500000</f>
        <v>1500000</v>
      </c>
      <c r="G263" s="5">
        <f>450000-450000+1050000</f>
        <v>1050000</v>
      </c>
      <c r="H263" s="6"/>
      <c r="I263" s="82">
        <f>H263/G263*100</f>
        <v>0</v>
      </c>
      <c r="J263" s="6"/>
    </row>
    <row r="264" spans="1:10" ht="96" customHeight="1" x14ac:dyDescent="0.25">
      <c r="A264" s="109"/>
      <c r="B264" s="97"/>
      <c r="C264" s="125"/>
      <c r="D264" s="210" t="s">
        <v>264</v>
      </c>
      <c r="E264" s="7"/>
      <c r="F264" s="7">
        <f>1500000</f>
        <v>1500000</v>
      </c>
      <c r="G264" s="5">
        <f>300000+1000000-1000000-300000+200000</f>
        <v>200000</v>
      </c>
      <c r="H264" s="6"/>
      <c r="I264" s="82">
        <f>H264/G264*100</f>
        <v>0</v>
      </c>
      <c r="J264" s="6"/>
    </row>
    <row r="265" spans="1:10" ht="57" customHeight="1" x14ac:dyDescent="0.25">
      <c r="A265" s="109"/>
      <c r="B265" s="123"/>
      <c r="C265" s="125"/>
      <c r="D265" s="210" t="s">
        <v>265</v>
      </c>
      <c r="E265" s="7"/>
      <c r="F265" s="7">
        <f>1500000</f>
        <v>1500000</v>
      </c>
      <c r="G265" s="5">
        <f>64671+1000000</f>
        <v>1064671</v>
      </c>
      <c r="H265" s="6"/>
      <c r="I265" s="82">
        <f>H265/G265*100</f>
        <v>0</v>
      </c>
      <c r="J265" s="6"/>
    </row>
    <row r="266" spans="1:10" ht="13.5" customHeight="1" x14ac:dyDescent="0.25">
      <c r="A266" s="109"/>
      <c r="B266" s="123"/>
      <c r="C266" s="125"/>
      <c r="D266" s="54"/>
      <c r="E266" s="7"/>
      <c r="F266" s="7"/>
      <c r="G266" s="5"/>
      <c r="H266" s="6"/>
      <c r="I266" s="82"/>
      <c r="J266" s="6"/>
    </row>
    <row r="267" spans="1:10" ht="30" hidden="1" customHeight="1" x14ac:dyDescent="0.3">
      <c r="A267" s="109"/>
      <c r="B267" s="123"/>
      <c r="C267" s="129"/>
      <c r="D267" s="140" t="s">
        <v>16</v>
      </c>
      <c r="E267" s="145"/>
      <c r="F267" s="10">
        <f>F268</f>
        <v>0</v>
      </c>
      <c r="G267" s="10">
        <f>G268</f>
        <v>0</v>
      </c>
      <c r="H267" s="45" t="e">
        <f>G267-#REF!</f>
        <v>#REF!</v>
      </c>
      <c r="I267" s="82" t="e">
        <f t="shared" ref="I267:I284" si="16">H267/G267*100</f>
        <v>#REF!</v>
      </c>
      <c r="J267" s="45"/>
    </row>
    <row r="268" spans="1:10" ht="51.75" hidden="1" customHeight="1" x14ac:dyDescent="0.3">
      <c r="A268" s="109"/>
      <c r="B268" s="123"/>
      <c r="C268" s="127"/>
      <c r="D268" s="89"/>
      <c r="E268" s="145"/>
      <c r="F268" s="5"/>
      <c r="G268" s="5"/>
      <c r="H268" s="6" t="e">
        <f>G268-#REF!</f>
        <v>#REF!</v>
      </c>
      <c r="I268" s="82" t="e">
        <f t="shared" si="16"/>
        <v>#REF!</v>
      </c>
      <c r="J268" s="6"/>
    </row>
    <row r="269" spans="1:10" ht="12" hidden="1" customHeight="1" x14ac:dyDescent="0.25">
      <c r="A269" s="109"/>
      <c r="B269" s="123"/>
      <c r="C269" s="127"/>
      <c r="D269" s="63"/>
      <c r="E269" s="7"/>
      <c r="F269" s="5"/>
      <c r="G269" s="5"/>
      <c r="H269" s="6"/>
      <c r="I269" s="82" t="e">
        <f t="shared" si="16"/>
        <v>#DIV/0!</v>
      </c>
      <c r="J269" s="6"/>
    </row>
    <row r="270" spans="1:10" ht="33" hidden="1" customHeight="1" x14ac:dyDescent="0.25">
      <c r="A270" s="143" t="s">
        <v>65</v>
      </c>
      <c r="B270" s="123">
        <v>1070</v>
      </c>
      <c r="C270" s="129"/>
      <c r="D270" s="63"/>
      <c r="E270" s="131">
        <f>E271+E274</f>
        <v>0</v>
      </c>
      <c r="F270" s="131">
        <f>F271+F274</f>
        <v>0</v>
      </c>
      <c r="G270" s="131">
        <f>G271+G274</f>
        <v>0</v>
      </c>
      <c r="H270" s="131" t="e">
        <f>H271+H274</f>
        <v>#REF!</v>
      </c>
      <c r="I270" s="82" t="e">
        <f t="shared" si="16"/>
        <v>#REF!</v>
      </c>
      <c r="J270" s="131"/>
    </row>
    <row r="271" spans="1:10" ht="31.5" hidden="1" customHeight="1" x14ac:dyDescent="0.3">
      <c r="A271" s="109"/>
      <c r="B271" s="123"/>
      <c r="C271" s="129"/>
      <c r="D271" s="68" t="s">
        <v>13</v>
      </c>
      <c r="E271" s="132">
        <f>SUM(E272)</f>
        <v>0</v>
      </c>
      <c r="F271" s="132">
        <f>SUM(F272)</f>
        <v>0</v>
      </c>
      <c r="G271" s="132">
        <f>SUM(G272)</f>
        <v>0</v>
      </c>
      <c r="H271" s="132" t="e">
        <f>SUM(H272)</f>
        <v>#REF!</v>
      </c>
      <c r="I271" s="82" t="e">
        <f t="shared" si="16"/>
        <v>#REF!</v>
      </c>
      <c r="J271" s="132"/>
    </row>
    <row r="272" spans="1:10" ht="21" hidden="1" customHeight="1" x14ac:dyDescent="0.25">
      <c r="A272" s="109"/>
      <c r="B272" s="123"/>
      <c r="C272" s="129"/>
      <c r="D272" s="103"/>
      <c r="E272" s="112"/>
      <c r="F272" s="112"/>
      <c r="G272" s="112"/>
      <c r="H272" s="132" t="e">
        <f>G272-#REF!</f>
        <v>#REF!</v>
      </c>
      <c r="I272" s="82" t="e">
        <f t="shared" si="16"/>
        <v>#REF!</v>
      </c>
      <c r="J272" s="132"/>
    </row>
    <row r="273" spans="1:10" ht="15.75" hidden="1" customHeight="1" x14ac:dyDescent="0.25">
      <c r="A273" s="109"/>
      <c r="B273" s="123"/>
      <c r="C273" s="129"/>
      <c r="D273" s="210"/>
      <c r="E273" s="112"/>
      <c r="F273" s="132"/>
      <c r="G273" s="132"/>
      <c r="H273" s="132"/>
      <c r="I273" s="82" t="e">
        <f t="shared" si="16"/>
        <v>#DIV/0!</v>
      </c>
      <c r="J273" s="132"/>
    </row>
    <row r="274" spans="1:10" ht="31.5" hidden="1" customHeight="1" x14ac:dyDescent="0.3">
      <c r="A274" s="109"/>
      <c r="B274" s="123"/>
      <c r="C274" s="129"/>
      <c r="D274" s="68" t="s">
        <v>15</v>
      </c>
      <c r="E274" s="132">
        <f>SUM(E275:E276)</f>
        <v>0</v>
      </c>
      <c r="F274" s="132">
        <f>SUM(F275:F276)</f>
        <v>0</v>
      </c>
      <c r="G274" s="132">
        <f>SUM(G275:G276)</f>
        <v>0</v>
      </c>
      <c r="H274" s="132" t="e">
        <f>SUM(H275:H276)</f>
        <v>#REF!</v>
      </c>
      <c r="I274" s="82" t="e">
        <f t="shared" si="16"/>
        <v>#REF!</v>
      </c>
      <c r="J274" s="132"/>
    </row>
    <row r="275" spans="1:10" ht="20.25" hidden="1" customHeight="1" x14ac:dyDescent="0.25">
      <c r="A275" s="109"/>
      <c r="B275" s="97"/>
      <c r="C275" s="125"/>
      <c r="D275" s="93"/>
      <c r="E275" s="7"/>
      <c r="F275" s="7"/>
      <c r="G275" s="5"/>
      <c r="H275" s="6" t="e">
        <f>G275-#REF!</f>
        <v>#REF!</v>
      </c>
      <c r="I275" s="82" t="e">
        <f t="shared" si="16"/>
        <v>#REF!</v>
      </c>
      <c r="J275" s="6"/>
    </row>
    <row r="276" spans="1:10" ht="24" hidden="1" customHeight="1" x14ac:dyDescent="0.25">
      <c r="A276" s="109"/>
      <c r="B276" s="97"/>
      <c r="C276" s="125"/>
      <c r="D276" s="93"/>
      <c r="E276" s="7"/>
      <c r="F276" s="7"/>
      <c r="G276" s="5"/>
      <c r="H276" s="6" t="e">
        <f>G276-#REF!</f>
        <v>#REF!</v>
      </c>
      <c r="I276" s="82" t="e">
        <f t="shared" si="16"/>
        <v>#REF!</v>
      </c>
      <c r="J276" s="6"/>
    </row>
    <row r="277" spans="1:10" ht="15.75" hidden="1" customHeight="1" x14ac:dyDescent="0.25">
      <c r="A277" s="109"/>
      <c r="B277" s="97"/>
      <c r="C277" s="125"/>
      <c r="D277" s="240"/>
      <c r="E277" s="112"/>
      <c r="F277" s="112"/>
      <c r="G277" s="5"/>
      <c r="H277" s="6"/>
      <c r="I277" s="82" t="e">
        <f t="shared" si="16"/>
        <v>#DIV/0!</v>
      </c>
      <c r="J277" s="6"/>
    </row>
    <row r="278" spans="1:10" ht="30.75" hidden="1" customHeight="1" x14ac:dyDescent="0.25">
      <c r="A278" s="143" t="s">
        <v>66</v>
      </c>
      <c r="B278" s="123">
        <v>1160</v>
      </c>
      <c r="C278" s="129"/>
      <c r="D278" s="63"/>
      <c r="E278" s="131">
        <f>E279</f>
        <v>0</v>
      </c>
      <c r="F278" s="131">
        <f>F279</f>
        <v>0</v>
      </c>
      <c r="G278" s="131">
        <f>G279</f>
        <v>0</v>
      </c>
      <c r="H278" s="131" t="e">
        <f>H279</f>
        <v>#REF!</v>
      </c>
      <c r="I278" s="82" t="e">
        <f t="shared" si="16"/>
        <v>#REF!</v>
      </c>
      <c r="J278" s="131"/>
    </row>
    <row r="279" spans="1:10" ht="25.5" hidden="1" customHeight="1" x14ac:dyDescent="0.3">
      <c r="A279" s="109"/>
      <c r="B279" s="123"/>
      <c r="C279" s="129"/>
      <c r="D279" s="68" t="s">
        <v>15</v>
      </c>
      <c r="E279" s="132">
        <f>SUM(E280:E281)</f>
        <v>0</v>
      </c>
      <c r="F279" s="132">
        <f>SUM(F280:F281)</f>
        <v>0</v>
      </c>
      <c r="G279" s="132">
        <f>SUM(G280:G281)</f>
        <v>0</v>
      </c>
      <c r="H279" s="132" t="e">
        <f>SUM(H280:H281)</f>
        <v>#REF!</v>
      </c>
      <c r="I279" s="82" t="e">
        <f t="shared" si="16"/>
        <v>#REF!</v>
      </c>
      <c r="J279" s="132"/>
    </row>
    <row r="280" spans="1:10" ht="23.25" hidden="1" customHeight="1" x14ac:dyDescent="0.25">
      <c r="A280" s="109"/>
      <c r="B280" s="97"/>
      <c r="C280" s="125"/>
      <c r="D280" s="93"/>
      <c r="E280" s="7"/>
      <c r="F280" s="7"/>
      <c r="G280" s="5"/>
      <c r="H280" s="6" t="e">
        <f>G280-#REF!</f>
        <v>#REF!</v>
      </c>
      <c r="I280" s="82" t="e">
        <f t="shared" si="16"/>
        <v>#REF!</v>
      </c>
      <c r="J280" s="6"/>
    </row>
    <row r="281" spans="1:10" ht="15" hidden="1" customHeight="1" x14ac:dyDescent="0.25">
      <c r="A281" s="109"/>
      <c r="B281" s="125"/>
      <c r="C281" s="125"/>
      <c r="D281" s="63"/>
      <c r="E281" s="72"/>
      <c r="F281" s="112"/>
      <c r="G281" s="5"/>
      <c r="H281" s="6"/>
      <c r="I281" s="82" t="e">
        <f t="shared" si="16"/>
        <v>#DIV/0!</v>
      </c>
      <c r="J281" s="45"/>
    </row>
    <row r="282" spans="1:10" ht="12.75" hidden="1" customHeight="1" x14ac:dyDescent="0.25">
      <c r="A282" s="109"/>
      <c r="B282" s="125"/>
      <c r="C282" s="125"/>
      <c r="D282" s="63"/>
      <c r="E282" s="72"/>
      <c r="F282" s="112"/>
      <c r="G282" s="5"/>
      <c r="H282" s="6"/>
      <c r="I282" s="82" t="e">
        <f t="shared" si="16"/>
        <v>#DIV/0!</v>
      </c>
      <c r="J282" s="45"/>
    </row>
    <row r="283" spans="1:10" ht="24" customHeight="1" x14ac:dyDescent="0.3">
      <c r="A283" s="51" t="s">
        <v>266</v>
      </c>
      <c r="B283" s="75">
        <v>7321</v>
      </c>
      <c r="C283" s="76"/>
      <c r="D283" s="77"/>
      <c r="E283" s="13">
        <f>E284+E291</f>
        <v>0</v>
      </c>
      <c r="F283" s="78">
        <f>F284+F291</f>
        <v>5200000</v>
      </c>
      <c r="G283" s="78">
        <f>G284+G291</f>
        <v>250000</v>
      </c>
      <c r="H283" s="78">
        <f>H284</f>
        <v>0</v>
      </c>
      <c r="I283" s="24">
        <f t="shared" si="16"/>
        <v>0</v>
      </c>
      <c r="J283" s="78"/>
    </row>
    <row r="284" spans="1:10" ht="21" customHeight="1" x14ac:dyDescent="0.3">
      <c r="A284" s="51"/>
      <c r="B284" s="78"/>
      <c r="C284" s="76"/>
      <c r="D284" s="68" t="s">
        <v>14</v>
      </c>
      <c r="E284" s="13">
        <f>SUM(E285:E287)</f>
        <v>0</v>
      </c>
      <c r="F284" s="13">
        <f>SUM(F285:F287)</f>
        <v>5200000</v>
      </c>
      <c r="G284" s="13">
        <f>SUM(G285:G287)</f>
        <v>250000</v>
      </c>
      <c r="H284" s="13">
        <f>SUM(H285:H287)</f>
        <v>0</v>
      </c>
      <c r="I284" s="24">
        <f t="shared" si="16"/>
        <v>0</v>
      </c>
      <c r="J284" s="78"/>
    </row>
    <row r="285" spans="1:10" ht="67.5" customHeight="1" x14ac:dyDescent="0.25">
      <c r="A285" s="109"/>
      <c r="B285" s="125"/>
      <c r="C285" s="125"/>
      <c r="D285" s="9" t="s">
        <v>267</v>
      </c>
      <c r="E285" s="72"/>
      <c r="F285" s="112">
        <f>1500000</f>
        <v>1500000</v>
      </c>
      <c r="G285" s="5"/>
      <c r="H285" s="6"/>
      <c r="I285" s="82"/>
      <c r="J285" s="45"/>
    </row>
    <row r="286" spans="1:10" ht="74.25" customHeight="1" x14ac:dyDescent="0.25">
      <c r="A286" s="109"/>
      <c r="B286" s="125"/>
      <c r="C286" s="125"/>
      <c r="D286" s="9" t="s">
        <v>268</v>
      </c>
      <c r="E286" s="72"/>
      <c r="F286" s="112">
        <f>1500000</f>
        <v>1500000</v>
      </c>
      <c r="G286" s="5"/>
      <c r="H286" s="6"/>
      <c r="I286" s="82"/>
      <c r="J286" s="45"/>
    </row>
    <row r="287" spans="1:10" ht="91.5" customHeight="1" x14ac:dyDescent="0.25">
      <c r="A287" s="109"/>
      <c r="B287" s="125"/>
      <c r="C287" s="125"/>
      <c r="D287" s="323" t="s">
        <v>269</v>
      </c>
      <c r="E287" s="72"/>
      <c r="F287" s="112">
        <f>2200000</f>
        <v>2200000</v>
      </c>
      <c r="G287" s="5">
        <f>700000-450000</f>
        <v>250000</v>
      </c>
      <c r="H287" s="6"/>
      <c r="I287" s="82">
        <f>H287/G287*100</f>
        <v>0</v>
      </c>
      <c r="J287" s="45"/>
    </row>
    <row r="288" spans="1:10" ht="7.5" customHeight="1" x14ac:dyDescent="0.25">
      <c r="A288" s="109"/>
      <c r="B288" s="125"/>
      <c r="C288" s="125"/>
      <c r="D288" s="63"/>
      <c r="E288" s="72"/>
      <c r="F288" s="112"/>
      <c r="G288" s="5"/>
      <c r="H288" s="6"/>
      <c r="I288" s="82"/>
      <c r="J288" s="45"/>
    </row>
    <row r="289" spans="1:10" ht="17.25" customHeight="1" x14ac:dyDescent="0.25">
      <c r="A289" s="146" t="s">
        <v>67</v>
      </c>
      <c r="B289" s="147"/>
      <c r="C289" s="125"/>
      <c r="D289" s="148" t="s">
        <v>68</v>
      </c>
      <c r="E289" s="149">
        <f>E294+E290+E298+E305+E310</f>
        <v>2500000</v>
      </c>
      <c r="F289" s="149">
        <f>F294+F290+F298+F305+F310</f>
        <v>1950000</v>
      </c>
      <c r="G289" s="149">
        <f>G294+G290+G298+G305+G310</f>
        <v>1850000</v>
      </c>
      <c r="H289" s="149">
        <f>H294+H305+H310</f>
        <v>0</v>
      </c>
      <c r="I289" s="149">
        <f>I294+I305+I310</f>
        <v>0</v>
      </c>
      <c r="J289" s="45"/>
    </row>
    <row r="290" spans="1:10" ht="17.25" hidden="1" customHeight="1" x14ac:dyDescent="0.25">
      <c r="A290" s="150" t="s">
        <v>69</v>
      </c>
      <c r="B290" s="124" t="s">
        <v>61</v>
      </c>
      <c r="C290" s="125"/>
      <c r="D290" s="121"/>
      <c r="E290" s="19">
        <f>E291</f>
        <v>0</v>
      </c>
      <c r="F290" s="126">
        <f>F291</f>
        <v>0</v>
      </c>
      <c r="G290" s="126">
        <f>G291</f>
        <v>0</v>
      </c>
      <c r="H290" s="126" t="e">
        <f>H291</f>
        <v>#REF!</v>
      </c>
      <c r="I290" s="24" t="e">
        <f>H290/G290*100</f>
        <v>#REF!</v>
      </c>
      <c r="J290" s="45"/>
    </row>
    <row r="291" spans="1:10" ht="17.25" hidden="1" customHeight="1" x14ac:dyDescent="0.3">
      <c r="A291" s="123"/>
      <c r="B291" s="97"/>
      <c r="C291" s="125"/>
      <c r="D291" s="68" t="s">
        <v>13</v>
      </c>
      <c r="E291" s="69">
        <f>SUM(E292)</f>
        <v>0</v>
      </c>
      <c r="F291" s="45">
        <f>SUM(F292)</f>
        <v>0</v>
      </c>
      <c r="G291" s="45">
        <f>SUM(G292)</f>
        <v>0</v>
      </c>
      <c r="H291" s="45" t="e">
        <f>SUM(H292)</f>
        <v>#REF!</v>
      </c>
      <c r="I291" s="24" t="e">
        <f>H291/G291*100</f>
        <v>#REF!</v>
      </c>
      <c r="J291" s="45"/>
    </row>
    <row r="292" spans="1:10" ht="17.25" hidden="1" customHeight="1" x14ac:dyDescent="0.25">
      <c r="A292" s="109"/>
      <c r="B292" s="97"/>
      <c r="C292" s="125"/>
      <c r="D292" s="9"/>
      <c r="E292" s="112"/>
      <c r="F292" s="5"/>
      <c r="G292" s="5"/>
      <c r="H292" s="6" t="e">
        <f>G292-#REF!</f>
        <v>#REF!</v>
      </c>
      <c r="I292" s="24" t="e">
        <f>H292/G292*100</f>
        <v>#REF!</v>
      </c>
      <c r="J292" s="45"/>
    </row>
    <row r="293" spans="1:10" ht="17.25" hidden="1" customHeight="1" x14ac:dyDescent="0.3">
      <c r="A293" s="109"/>
      <c r="B293" s="97"/>
      <c r="C293" s="125"/>
      <c r="D293" s="151"/>
      <c r="E293" s="5"/>
      <c r="F293" s="5"/>
      <c r="G293" s="5"/>
      <c r="H293" s="6"/>
      <c r="I293" s="24" t="e">
        <f>H293/G293*100</f>
        <v>#DIV/0!</v>
      </c>
      <c r="J293" s="45"/>
    </row>
    <row r="294" spans="1:10" ht="17.25" customHeight="1" x14ac:dyDescent="0.25">
      <c r="A294" s="143" t="s">
        <v>70</v>
      </c>
      <c r="B294" s="100">
        <v>3124</v>
      </c>
      <c r="C294" s="125"/>
      <c r="D294" s="63"/>
      <c r="E294" s="10">
        <f t="shared" ref="E294:H295" si="17">E295</f>
        <v>1000000</v>
      </c>
      <c r="F294" s="10">
        <f t="shared" si="17"/>
        <v>0</v>
      </c>
      <c r="G294" s="10">
        <f t="shared" si="17"/>
        <v>0</v>
      </c>
      <c r="H294" s="10">
        <f t="shared" si="17"/>
        <v>0</v>
      </c>
      <c r="I294" s="24"/>
      <c r="J294" s="10"/>
    </row>
    <row r="295" spans="1:10" ht="17.25" customHeight="1" x14ac:dyDescent="0.3">
      <c r="A295" s="123"/>
      <c r="B295" s="97"/>
      <c r="C295" s="125"/>
      <c r="D295" s="68" t="s">
        <v>15</v>
      </c>
      <c r="E295" s="69">
        <f t="shared" si="17"/>
        <v>1000000</v>
      </c>
      <c r="F295" s="69">
        <f t="shared" si="17"/>
        <v>0</v>
      </c>
      <c r="G295" s="69">
        <f t="shared" si="17"/>
        <v>0</v>
      </c>
      <c r="H295" s="69">
        <f t="shared" si="17"/>
        <v>0</v>
      </c>
      <c r="I295" s="82"/>
      <c r="J295" s="69"/>
    </row>
    <row r="296" spans="1:10" ht="108.75" customHeight="1" x14ac:dyDescent="0.25">
      <c r="A296" s="109"/>
      <c r="B296" s="97"/>
      <c r="C296" s="125"/>
      <c r="D296" s="152" t="s">
        <v>160</v>
      </c>
      <c r="E296" s="5">
        <f>1000000</f>
        <v>1000000</v>
      </c>
      <c r="F296" s="5">
        <f>1000000-1000000</f>
        <v>0</v>
      </c>
      <c r="G296" s="5"/>
      <c r="H296" s="6"/>
      <c r="I296" s="82"/>
      <c r="J296" s="6"/>
    </row>
    <row r="297" spans="1:10" ht="12" customHeight="1" x14ac:dyDescent="0.3">
      <c r="A297" s="109"/>
      <c r="B297" s="97"/>
      <c r="C297" s="125"/>
      <c r="D297" s="324"/>
      <c r="E297" s="5"/>
      <c r="F297" s="5"/>
      <c r="G297" s="5"/>
      <c r="H297" s="6"/>
      <c r="I297" s="82"/>
      <c r="J297" s="6"/>
    </row>
    <row r="298" spans="1:10" ht="32.25" hidden="1" customHeight="1" x14ac:dyDescent="0.25">
      <c r="A298" s="125" t="s">
        <v>71</v>
      </c>
      <c r="B298" s="100">
        <v>3105</v>
      </c>
      <c r="C298" s="125"/>
      <c r="D298" s="63"/>
      <c r="E298" s="10">
        <f>E299+E302</f>
        <v>0</v>
      </c>
      <c r="F298" s="10">
        <f>F299+F302</f>
        <v>0</v>
      </c>
      <c r="G298" s="10">
        <f>G299+G302</f>
        <v>0</v>
      </c>
      <c r="H298" s="10" t="e">
        <f>H299+H302</f>
        <v>#REF!</v>
      </c>
      <c r="I298" s="82" t="e">
        <f t="shared" ref="I298:I306" si="18">H298/G298*100</f>
        <v>#REF!</v>
      </c>
      <c r="J298" s="10"/>
    </row>
    <row r="299" spans="1:10" ht="24.75" hidden="1" customHeight="1" x14ac:dyDescent="0.3">
      <c r="A299" s="123"/>
      <c r="B299" s="97"/>
      <c r="C299" s="125"/>
      <c r="D299" s="68" t="s">
        <v>13</v>
      </c>
      <c r="E299" s="69">
        <f>E300</f>
        <v>0</v>
      </c>
      <c r="F299" s="45">
        <f>F300</f>
        <v>0</v>
      </c>
      <c r="G299" s="69">
        <f>G300</f>
        <v>0</v>
      </c>
      <c r="H299" s="69" t="e">
        <f>H300</f>
        <v>#REF!</v>
      </c>
      <c r="I299" s="82" t="e">
        <f t="shared" si="18"/>
        <v>#REF!</v>
      </c>
      <c r="J299" s="69"/>
    </row>
    <row r="300" spans="1:10" ht="23.25" hidden="1" customHeight="1" x14ac:dyDescent="0.25">
      <c r="A300" s="109"/>
      <c r="B300" s="97"/>
      <c r="C300" s="125"/>
      <c r="D300" s="9"/>
      <c r="E300" s="5"/>
      <c r="F300" s="5"/>
      <c r="G300" s="5"/>
      <c r="H300" s="6" t="e">
        <f>G300-#REF!</f>
        <v>#REF!</v>
      </c>
      <c r="I300" s="82" t="e">
        <f t="shared" si="18"/>
        <v>#REF!</v>
      </c>
      <c r="J300" s="6"/>
    </row>
    <row r="301" spans="1:10" ht="13.5" hidden="1" customHeight="1" x14ac:dyDescent="0.3">
      <c r="A301" s="109"/>
      <c r="B301" s="97"/>
      <c r="C301" s="125"/>
      <c r="D301" s="151"/>
      <c r="E301" s="5"/>
      <c r="F301" s="5" t="s">
        <v>72</v>
      </c>
      <c r="G301" s="5"/>
      <c r="H301" s="6"/>
      <c r="I301" s="82" t="e">
        <f t="shared" si="18"/>
        <v>#DIV/0!</v>
      </c>
      <c r="J301" s="6"/>
    </row>
    <row r="302" spans="1:10" ht="21.75" hidden="1" customHeight="1" x14ac:dyDescent="0.3">
      <c r="A302" s="123"/>
      <c r="B302" s="97"/>
      <c r="C302" s="125"/>
      <c r="D302" s="68" t="s">
        <v>15</v>
      </c>
      <c r="E302" s="69">
        <f>E303</f>
        <v>0</v>
      </c>
      <c r="F302" s="45">
        <f>F303</f>
        <v>0</v>
      </c>
      <c r="G302" s="69">
        <f>G303</f>
        <v>0</v>
      </c>
      <c r="H302" s="69" t="e">
        <f>H303</f>
        <v>#REF!</v>
      </c>
      <c r="I302" s="82" t="e">
        <f t="shared" si="18"/>
        <v>#REF!</v>
      </c>
      <c r="J302" s="69"/>
    </row>
    <row r="303" spans="1:10" ht="25.5" hidden="1" customHeight="1" x14ac:dyDescent="0.25">
      <c r="A303" s="109"/>
      <c r="B303" s="109"/>
      <c r="C303" s="125"/>
      <c r="D303" s="4"/>
      <c r="E303" s="5"/>
      <c r="F303" s="5"/>
      <c r="G303" s="5"/>
      <c r="H303" s="6" t="e">
        <f>G303-#REF!</f>
        <v>#REF!</v>
      </c>
      <c r="I303" s="82" t="e">
        <f t="shared" si="18"/>
        <v>#REF!</v>
      </c>
      <c r="J303" s="6"/>
    </row>
    <row r="304" spans="1:10" ht="25.5" hidden="1" customHeight="1" x14ac:dyDescent="0.25">
      <c r="A304" s="109"/>
      <c r="B304" s="109"/>
      <c r="C304" s="125"/>
      <c r="D304" s="4"/>
      <c r="E304" s="5"/>
      <c r="F304" s="5"/>
      <c r="G304" s="5"/>
      <c r="H304" s="6"/>
      <c r="I304" s="82" t="e">
        <f t="shared" si="18"/>
        <v>#DIV/0!</v>
      </c>
      <c r="J304" s="6"/>
    </row>
    <row r="305" spans="1:10" ht="21" customHeight="1" x14ac:dyDescent="0.25">
      <c r="A305" s="143" t="s">
        <v>73</v>
      </c>
      <c r="B305" s="100">
        <v>3230</v>
      </c>
      <c r="C305" s="125"/>
      <c r="D305" s="63"/>
      <c r="E305" s="10">
        <f>E306</f>
        <v>1500000</v>
      </c>
      <c r="F305" s="10">
        <f>F306</f>
        <v>500000</v>
      </c>
      <c r="G305" s="10">
        <f>G306</f>
        <v>500000</v>
      </c>
      <c r="H305" s="10">
        <f>H306</f>
        <v>0</v>
      </c>
      <c r="I305" s="24">
        <f t="shared" si="18"/>
        <v>0</v>
      </c>
      <c r="J305" s="10"/>
    </row>
    <row r="306" spans="1:10" ht="20.25" customHeight="1" x14ac:dyDescent="0.3">
      <c r="A306" s="123"/>
      <c r="B306" s="97"/>
      <c r="C306" s="125"/>
      <c r="D306" s="68" t="s">
        <v>16</v>
      </c>
      <c r="E306" s="69">
        <f>SUM(E307:E308)</f>
        <v>1500000</v>
      </c>
      <c r="F306" s="69">
        <f>SUM(F307:F308)</f>
        <v>500000</v>
      </c>
      <c r="G306" s="69">
        <f>SUM(G307:G308)</f>
        <v>500000</v>
      </c>
      <c r="H306" s="69">
        <f>SUM(H307:H308)</f>
        <v>0</v>
      </c>
      <c r="I306" s="24">
        <f t="shared" si="18"/>
        <v>0</v>
      </c>
      <c r="J306" s="69"/>
    </row>
    <row r="307" spans="1:10" ht="89.25" customHeight="1" x14ac:dyDescent="0.25">
      <c r="A307" s="109"/>
      <c r="B307" s="97"/>
      <c r="C307" s="125"/>
      <c r="D307" s="152" t="s">
        <v>161</v>
      </c>
      <c r="E307" s="5">
        <f>1000000</f>
        <v>1000000</v>
      </c>
      <c r="F307" s="5">
        <f>1000000-1000000</f>
        <v>0</v>
      </c>
      <c r="G307" s="5"/>
      <c r="H307" s="6"/>
      <c r="I307" s="82"/>
      <c r="J307" s="6"/>
    </row>
    <row r="308" spans="1:10" ht="72.75" customHeight="1" x14ac:dyDescent="0.25">
      <c r="A308" s="109"/>
      <c r="B308" s="125"/>
      <c r="C308" s="125"/>
      <c r="D308" s="152" t="s">
        <v>162</v>
      </c>
      <c r="E308" s="136">
        <f>500000</f>
        <v>500000</v>
      </c>
      <c r="F308" s="136">
        <f>500000</f>
        <v>500000</v>
      </c>
      <c r="G308" s="5">
        <f>500000</f>
        <v>500000</v>
      </c>
      <c r="H308" s="6"/>
      <c r="I308" s="82">
        <f>H308/G308*100</f>
        <v>0</v>
      </c>
      <c r="J308" s="45"/>
    </row>
    <row r="309" spans="1:10" ht="15.75" customHeight="1" x14ac:dyDescent="0.25">
      <c r="A309" s="109"/>
      <c r="B309" s="125"/>
      <c r="C309" s="125"/>
      <c r="D309" s="152"/>
      <c r="E309" s="136"/>
      <c r="F309" s="5"/>
      <c r="G309" s="5"/>
      <c r="H309" s="6"/>
      <c r="I309" s="82"/>
      <c r="J309" s="45"/>
    </row>
    <row r="310" spans="1:10" ht="21" customHeight="1" x14ac:dyDescent="0.25">
      <c r="A310" s="153" t="s">
        <v>270</v>
      </c>
      <c r="B310" s="125">
        <v>7370</v>
      </c>
      <c r="C310" s="129"/>
      <c r="D310" s="130"/>
      <c r="E310" s="78">
        <f>E311</f>
        <v>0</v>
      </c>
      <c r="F310" s="78">
        <f>F311</f>
        <v>1450000</v>
      </c>
      <c r="G310" s="78">
        <f>G311</f>
        <v>1350000</v>
      </c>
      <c r="H310" s="78">
        <f>H311</f>
        <v>0</v>
      </c>
      <c r="I310" s="24">
        <f>H310/G310*100</f>
        <v>0</v>
      </c>
      <c r="J310" s="45"/>
    </row>
    <row r="311" spans="1:10" ht="21" customHeight="1" x14ac:dyDescent="0.3">
      <c r="A311" s="100"/>
      <c r="B311" s="154"/>
      <c r="C311" s="129"/>
      <c r="D311" s="68" t="s">
        <v>15</v>
      </c>
      <c r="E311" s="13">
        <f>SUM(E312:E314)</f>
        <v>0</v>
      </c>
      <c r="F311" s="13">
        <f>SUM(F312:F314)</f>
        <v>1450000</v>
      </c>
      <c r="G311" s="13">
        <f>SUM(G312:G314)</f>
        <v>1350000</v>
      </c>
      <c r="H311" s="13">
        <f>SUM(H312:H314)</f>
        <v>0</v>
      </c>
      <c r="I311" s="24">
        <f>H311/G311*100</f>
        <v>0</v>
      </c>
      <c r="J311" s="45"/>
    </row>
    <row r="312" spans="1:10" ht="57.75" customHeight="1" x14ac:dyDescent="0.25">
      <c r="A312" s="155"/>
      <c r="B312" s="97"/>
      <c r="C312" s="125"/>
      <c r="D312" s="325" t="s">
        <v>271</v>
      </c>
      <c r="E312" s="156"/>
      <c r="F312" s="156">
        <f>1450000</f>
        <v>1450000</v>
      </c>
      <c r="G312" s="6">
        <f>500000+850000</f>
        <v>1350000</v>
      </c>
      <c r="H312" s="6"/>
      <c r="I312" s="82">
        <f>H312/G312*100</f>
        <v>0</v>
      </c>
      <c r="J312" s="6"/>
    </row>
    <row r="313" spans="1:10" ht="21" hidden="1" customHeight="1" x14ac:dyDescent="0.25">
      <c r="A313" s="109"/>
      <c r="B313" s="125"/>
      <c r="C313" s="125"/>
      <c r="D313" s="152"/>
      <c r="E313" s="136"/>
      <c r="F313" s="5"/>
      <c r="G313" s="5"/>
      <c r="H313" s="6"/>
      <c r="I313" s="82" t="e">
        <f>H313/G313*100</f>
        <v>#DIV/0!</v>
      </c>
      <c r="J313" s="45"/>
    </row>
    <row r="314" spans="1:10" ht="21" hidden="1" customHeight="1" x14ac:dyDescent="0.25">
      <c r="A314" s="109"/>
      <c r="B314" s="125"/>
      <c r="C314" s="125"/>
      <c r="D314" s="152"/>
      <c r="E314" s="136"/>
      <c r="F314" s="5"/>
      <c r="G314" s="5"/>
      <c r="H314" s="6"/>
      <c r="I314" s="82" t="e">
        <f>H314/G314*100</f>
        <v>#DIV/0!</v>
      </c>
      <c r="J314" s="45"/>
    </row>
    <row r="315" spans="1:10" ht="21" customHeight="1" x14ac:dyDescent="0.25">
      <c r="A315" s="109"/>
      <c r="B315" s="125"/>
      <c r="C315" s="125"/>
      <c r="D315" s="152"/>
      <c r="E315" s="136"/>
      <c r="F315" s="5"/>
      <c r="G315" s="5"/>
      <c r="H315" s="6"/>
      <c r="I315" s="82"/>
      <c r="J315" s="45"/>
    </row>
    <row r="316" spans="1:10" ht="22.5" customHeight="1" x14ac:dyDescent="0.25">
      <c r="A316" s="157" t="s">
        <v>74</v>
      </c>
      <c r="B316" s="157"/>
      <c r="C316" s="157"/>
      <c r="D316" s="121" t="s">
        <v>75</v>
      </c>
      <c r="E316" s="158">
        <f>E317+E321+E331+E338+E346+E358+E362+E368</f>
        <v>6520000</v>
      </c>
      <c r="F316" s="158">
        <f>F317+F321+F331+F338+F346+F358+F362+F368</f>
        <v>8920000</v>
      </c>
      <c r="G316" s="158">
        <f>G317+G321+G331+G338+G346+G358+G362+G368</f>
        <v>7820000</v>
      </c>
      <c r="H316" s="158">
        <f>H346+H368</f>
        <v>0</v>
      </c>
      <c r="I316" s="24">
        <f t="shared" ref="I316:I353" si="19">H316/G316*100</f>
        <v>0</v>
      </c>
      <c r="J316" s="158"/>
    </row>
    <row r="317" spans="1:10" ht="32.25" hidden="1" customHeight="1" x14ac:dyDescent="0.25">
      <c r="A317" s="125" t="s">
        <v>76</v>
      </c>
      <c r="B317" s="100" t="s">
        <v>61</v>
      </c>
      <c r="C317" s="159"/>
      <c r="D317" s="160"/>
      <c r="E317" s="19">
        <f>E318</f>
        <v>0</v>
      </c>
      <c r="F317" s="126">
        <f>F318</f>
        <v>0</v>
      </c>
      <c r="G317" s="126">
        <f>G318</f>
        <v>0</v>
      </c>
      <c r="H317" s="126" t="e">
        <f>H318</f>
        <v>#REF!</v>
      </c>
      <c r="I317" s="24" t="e">
        <f t="shared" si="19"/>
        <v>#REF!</v>
      </c>
      <c r="J317" s="19"/>
    </row>
    <row r="318" spans="1:10" ht="29.25" hidden="1" customHeight="1" x14ac:dyDescent="0.25">
      <c r="A318" s="125"/>
      <c r="B318" s="100"/>
      <c r="C318" s="159"/>
      <c r="D318" s="161" t="s">
        <v>13</v>
      </c>
      <c r="E318" s="69">
        <f>SUM(E319)</f>
        <v>0</v>
      </c>
      <c r="F318" s="45">
        <f>SUM(F319)</f>
        <v>0</v>
      </c>
      <c r="G318" s="45">
        <f>SUM(G319)</f>
        <v>0</v>
      </c>
      <c r="H318" s="45" t="e">
        <f>SUM(H319)</f>
        <v>#REF!</v>
      </c>
      <c r="I318" s="24" t="e">
        <f t="shared" si="19"/>
        <v>#REF!</v>
      </c>
      <c r="J318" s="69"/>
    </row>
    <row r="319" spans="1:10" ht="17.25" hidden="1" customHeight="1" x14ac:dyDescent="0.25">
      <c r="A319" s="109"/>
      <c r="B319" s="162"/>
      <c r="C319" s="125"/>
      <c r="D319" s="9"/>
      <c r="E319" s="5"/>
      <c r="F319" s="5"/>
      <c r="G319" s="6"/>
      <c r="H319" s="6" t="e">
        <f>G319-#REF!</f>
        <v>#REF!</v>
      </c>
      <c r="I319" s="24" t="e">
        <f t="shared" si="19"/>
        <v>#REF!</v>
      </c>
      <c r="J319" s="6"/>
    </row>
    <row r="320" spans="1:10" ht="22.5" hidden="1" customHeight="1" x14ac:dyDescent="0.25">
      <c r="A320" s="109"/>
      <c r="B320" s="162"/>
      <c r="C320" s="125"/>
      <c r="D320" s="130"/>
      <c r="E320" s="7"/>
      <c r="F320" s="5"/>
      <c r="G320" s="111"/>
      <c r="H320" s="111"/>
      <c r="I320" s="24" t="e">
        <f t="shared" si="19"/>
        <v>#DIV/0!</v>
      </c>
      <c r="J320" s="111"/>
    </row>
    <row r="321" spans="1:10" ht="22.5" hidden="1" customHeight="1" x14ac:dyDescent="0.25">
      <c r="A321" s="125">
        <v>1011080</v>
      </c>
      <c r="B321" s="100">
        <v>1080</v>
      </c>
      <c r="C321" s="125"/>
      <c r="D321" s="163"/>
      <c r="E321" s="131">
        <f>E322+E325</f>
        <v>0</v>
      </c>
      <c r="F321" s="131">
        <f>F322+F325</f>
        <v>0</v>
      </c>
      <c r="G321" s="131">
        <f>G322+G325</f>
        <v>0</v>
      </c>
      <c r="H321" s="131" t="e">
        <f>H322+H325</f>
        <v>#REF!</v>
      </c>
      <c r="I321" s="24" t="e">
        <f t="shared" si="19"/>
        <v>#REF!</v>
      </c>
      <c r="J321" s="131"/>
    </row>
    <row r="322" spans="1:10" ht="26.25" hidden="1" customHeight="1" x14ac:dyDescent="0.3">
      <c r="A322" s="125"/>
      <c r="B322" s="100"/>
      <c r="C322" s="125"/>
      <c r="D322" s="68" t="s">
        <v>13</v>
      </c>
      <c r="E322" s="132">
        <f>SUM(E323:E324)</f>
        <v>0</v>
      </c>
      <c r="F322" s="132">
        <f>SUM(F323:F324)</f>
        <v>0</v>
      </c>
      <c r="G322" s="132">
        <f>SUM(G323:G324)</f>
        <v>0</v>
      </c>
      <c r="H322" s="132" t="e">
        <f>SUM(H323:H324)</f>
        <v>#REF!</v>
      </c>
      <c r="I322" s="24" t="e">
        <f t="shared" si="19"/>
        <v>#REF!</v>
      </c>
      <c r="J322" s="132"/>
    </row>
    <row r="323" spans="1:10" ht="25.5" hidden="1" customHeight="1" x14ac:dyDescent="0.25">
      <c r="A323" s="109"/>
      <c r="B323" s="164"/>
      <c r="C323" s="164"/>
      <c r="D323" s="9"/>
      <c r="E323" s="112"/>
      <c r="F323" s="5"/>
      <c r="G323" s="6"/>
      <c r="H323" s="6" t="e">
        <f>G323-#REF!</f>
        <v>#REF!</v>
      </c>
      <c r="I323" s="24" t="e">
        <f t="shared" si="19"/>
        <v>#REF!</v>
      </c>
      <c r="J323" s="6"/>
    </row>
    <row r="324" spans="1:10" ht="20.25" hidden="1" customHeight="1" x14ac:dyDescent="0.25">
      <c r="A324" s="109"/>
      <c r="B324" s="125"/>
      <c r="C324" s="125"/>
      <c r="D324" s="128"/>
      <c r="E324" s="7"/>
      <c r="F324" s="5"/>
      <c r="G324" s="6"/>
      <c r="H324" s="6" t="e">
        <f>G324-#REF!</f>
        <v>#REF!</v>
      </c>
      <c r="I324" s="24" t="e">
        <f t="shared" si="19"/>
        <v>#REF!</v>
      </c>
      <c r="J324" s="6"/>
    </row>
    <row r="325" spans="1:10" ht="24" hidden="1" customHeight="1" x14ac:dyDescent="0.3">
      <c r="A325" s="109"/>
      <c r="B325" s="125"/>
      <c r="C325" s="125"/>
      <c r="D325" s="68" t="s">
        <v>15</v>
      </c>
      <c r="E325" s="10">
        <f>SUM(E326:E329)</f>
        <v>0</v>
      </c>
      <c r="F325" s="10">
        <f>SUM(F326:F329)</f>
        <v>0</v>
      </c>
      <c r="G325" s="10">
        <f>SUM(G326:G329)</f>
        <v>0</v>
      </c>
      <c r="H325" s="10" t="e">
        <f>SUM(H326:H329)</f>
        <v>#REF!</v>
      </c>
      <c r="I325" s="24" t="e">
        <f t="shared" si="19"/>
        <v>#REF!</v>
      </c>
      <c r="J325" s="10"/>
    </row>
    <row r="326" spans="1:10" hidden="1" x14ac:dyDescent="0.25">
      <c r="A326" s="109"/>
      <c r="B326" s="125"/>
      <c r="C326" s="125"/>
      <c r="D326" s="85"/>
      <c r="E326" s="6"/>
      <c r="F326" s="6"/>
      <c r="G326" s="5"/>
      <c r="H326" s="6" t="e">
        <f>G326-#REF!</f>
        <v>#REF!</v>
      </c>
      <c r="I326" s="24" t="e">
        <f t="shared" si="19"/>
        <v>#REF!</v>
      </c>
      <c r="J326" s="6"/>
    </row>
    <row r="327" spans="1:10" ht="12.75" hidden="1" customHeight="1" x14ac:dyDescent="0.25">
      <c r="A327" s="109"/>
      <c r="B327" s="125"/>
      <c r="C327" s="125"/>
      <c r="D327" s="85"/>
      <c r="E327" s="6"/>
      <c r="F327" s="6"/>
      <c r="G327" s="5"/>
      <c r="H327" s="6" t="e">
        <f>G327-#REF!</f>
        <v>#REF!</v>
      </c>
      <c r="I327" s="24" t="e">
        <f t="shared" si="19"/>
        <v>#REF!</v>
      </c>
      <c r="J327" s="6"/>
    </row>
    <row r="328" spans="1:10" ht="20.25" hidden="1" customHeight="1" x14ac:dyDescent="0.25">
      <c r="A328" s="109"/>
      <c r="B328" s="125"/>
      <c r="C328" s="125"/>
      <c r="D328" s="85"/>
      <c r="E328" s="6"/>
      <c r="F328" s="6"/>
      <c r="G328" s="5"/>
      <c r="H328" s="6" t="e">
        <f>G328-#REF!</f>
        <v>#REF!</v>
      </c>
      <c r="I328" s="24" t="e">
        <f t="shared" si="19"/>
        <v>#REF!</v>
      </c>
      <c r="J328" s="6"/>
    </row>
    <row r="329" spans="1:10" ht="20.25" hidden="1" customHeight="1" x14ac:dyDescent="0.25">
      <c r="A329" s="49"/>
      <c r="B329" s="69"/>
      <c r="C329" s="69"/>
      <c r="D329" s="85"/>
      <c r="E329" s="6"/>
      <c r="F329" s="6"/>
      <c r="G329" s="5"/>
      <c r="H329" s="6" t="e">
        <f>G329-#REF!</f>
        <v>#REF!</v>
      </c>
      <c r="I329" s="24" t="e">
        <f t="shared" si="19"/>
        <v>#REF!</v>
      </c>
      <c r="J329" s="6"/>
    </row>
    <row r="330" spans="1:10" hidden="1" x14ac:dyDescent="0.25">
      <c r="A330" s="49"/>
      <c r="B330" s="69"/>
      <c r="C330" s="69"/>
      <c r="D330" s="128"/>
      <c r="E330" s="72"/>
      <c r="F330" s="112"/>
      <c r="G330" s="112"/>
      <c r="H330" s="111"/>
      <c r="I330" s="24" t="e">
        <f t="shared" si="19"/>
        <v>#DIV/0!</v>
      </c>
      <c r="J330" s="111"/>
    </row>
    <row r="331" spans="1:10" ht="25.5" hidden="1" customHeight="1" x14ac:dyDescent="0.25">
      <c r="A331" s="125" t="s">
        <v>77</v>
      </c>
      <c r="B331" s="125" t="s">
        <v>78</v>
      </c>
      <c r="C331" s="125"/>
      <c r="D331" s="130"/>
      <c r="E331" s="131">
        <f>E332+E335</f>
        <v>0</v>
      </c>
      <c r="F331" s="131">
        <f>F332+F335</f>
        <v>0</v>
      </c>
      <c r="G331" s="131">
        <f>G332+G335</f>
        <v>0</v>
      </c>
      <c r="H331" s="131" t="e">
        <f>H332+H335</f>
        <v>#REF!</v>
      </c>
      <c r="I331" s="24" t="e">
        <f t="shared" si="19"/>
        <v>#REF!</v>
      </c>
      <c r="J331" s="131"/>
    </row>
    <row r="332" spans="1:10" ht="24" hidden="1" customHeight="1" x14ac:dyDescent="0.3">
      <c r="A332" s="125"/>
      <c r="B332" s="125"/>
      <c r="C332" s="125"/>
      <c r="D332" s="68" t="s">
        <v>13</v>
      </c>
      <c r="E332" s="132">
        <f>SUM(E333)</f>
        <v>0</v>
      </c>
      <c r="F332" s="132">
        <f>SUM(F333)</f>
        <v>0</v>
      </c>
      <c r="G332" s="132">
        <f>SUM(G333)</f>
        <v>0</v>
      </c>
      <c r="H332" s="132" t="e">
        <f>SUM(H333)</f>
        <v>#REF!</v>
      </c>
      <c r="I332" s="24" t="e">
        <f t="shared" si="19"/>
        <v>#REF!</v>
      </c>
      <c r="J332" s="132"/>
    </row>
    <row r="333" spans="1:10" ht="18.75" hidden="1" customHeight="1" x14ac:dyDescent="0.25">
      <c r="A333" s="109"/>
      <c r="B333" s="97"/>
      <c r="C333" s="125"/>
      <c r="D333" s="4"/>
      <c r="E333" s="112"/>
      <c r="F333" s="112"/>
      <c r="G333" s="112"/>
      <c r="H333" s="111" t="e">
        <f>G333-#REF!</f>
        <v>#REF!</v>
      </c>
      <c r="I333" s="24" t="e">
        <f t="shared" si="19"/>
        <v>#REF!</v>
      </c>
      <c r="J333" s="111"/>
    </row>
    <row r="334" spans="1:10" ht="14.25" hidden="1" customHeight="1" x14ac:dyDescent="0.25">
      <c r="A334" s="109"/>
      <c r="B334" s="97"/>
      <c r="C334" s="125"/>
      <c r="D334" s="9"/>
      <c r="E334" s="112"/>
      <c r="F334" s="112"/>
      <c r="G334" s="111"/>
      <c r="H334" s="111"/>
      <c r="I334" s="24" t="e">
        <f t="shared" si="19"/>
        <v>#DIV/0!</v>
      </c>
      <c r="J334" s="111"/>
    </row>
    <row r="335" spans="1:10" ht="15.75" hidden="1" customHeight="1" x14ac:dyDescent="0.3">
      <c r="A335" s="125"/>
      <c r="B335" s="125"/>
      <c r="C335" s="125"/>
      <c r="D335" s="68" t="s">
        <v>15</v>
      </c>
      <c r="E335" s="132">
        <f>SUM(E336)</f>
        <v>0</v>
      </c>
      <c r="F335" s="132">
        <f>SUM(F336)</f>
        <v>0</v>
      </c>
      <c r="G335" s="132">
        <f>SUM(G336)</f>
        <v>0</v>
      </c>
      <c r="H335" s="132" t="e">
        <f>SUM(H336)</f>
        <v>#REF!</v>
      </c>
      <c r="I335" s="24" t="e">
        <f t="shared" si="19"/>
        <v>#REF!</v>
      </c>
      <c r="J335" s="132"/>
    </row>
    <row r="336" spans="1:10" ht="15.75" hidden="1" customHeight="1" x14ac:dyDescent="0.25">
      <c r="A336" s="109"/>
      <c r="B336" s="97"/>
      <c r="C336" s="125"/>
      <c r="D336" s="85"/>
      <c r="E336" s="5"/>
      <c r="F336" s="5"/>
      <c r="G336" s="111"/>
      <c r="H336" s="111" t="e">
        <f>G336-#REF!</f>
        <v>#REF!</v>
      </c>
      <c r="I336" s="24" t="e">
        <f t="shared" si="19"/>
        <v>#REF!</v>
      </c>
      <c r="J336" s="111"/>
    </row>
    <row r="337" spans="1:10" ht="15.75" hidden="1" customHeight="1" x14ac:dyDescent="0.25">
      <c r="A337" s="109"/>
      <c r="B337" s="97"/>
      <c r="C337" s="125"/>
      <c r="D337" s="9"/>
      <c r="E337" s="112"/>
      <c r="F337" s="112"/>
      <c r="G337" s="111"/>
      <c r="H337" s="111"/>
      <c r="I337" s="24" t="e">
        <f t="shared" si="19"/>
        <v>#DIV/0!</v>
      </c>
      <c r="J337" s="111"/>
    </row>
    <row r="338" spans="1:10" ht="18.75" hidden="1" customHeight="1" x14ac:dyDescent="0.25">
      <c r="A338" s="125" t="s">
        <v>79</v>
      </c>
      <c r="B338" s="100">
        <v>4040</v>
      </c>
      <c r="C338" s="125"/>
      <c r="D338" s="130"/>
      <c r="E338" s="131">
        <f>E339+E342</f>
        <v>0</v>
      </c>
      <c r="F338" s="131">
        <f>F339+F342</f>
        <v>0</v>
      </c>
      <c r="G338" s="131">
        <f>G339+G342</f>
        <v>0</v>
      </c>
      <c r="H338" s="131" t="e">
        <f>H339+H342</f>
        <v>#REF!</v>
      </c>
      <c r="I338" s="24" t="e">
        <f t="shared" si="19"/>
        <v>#REF!</v>
      </c>
      <c r="J338" s="131"/>
    </row>
    <row r="339" spans="1:10" ht="18.75" hidden="1" customHeight="1" x14ac:dyDescent="0.3">
      <c r="A339" s="109"/>
      <c r="B339" s="97"/>
      <c r="C339" s="125"/>
      <c r="D339" s="68" t="s">
        <v>13</v>
      </c>
      <c r="E339" s="132">
        <f>SUM(E340)</f>
        <v>0</v>
      </c>
      <c r="F339" s="132">
        <f>SUM(F340)</f>
        <v>0</v>
      </c>
      <c r="G339" s="132">
        <f>SUM(G340)</f>
        <v>0</v>
      </c>
      <c r="H339" s="132" t="e">
        <f>SUM(H340)</f>
        <v>#REF!</v>
      </c>
      <c r="I339" s="24" t="e">
        <f t="shared" si="19"/>
        <v>#REF!</v>
      </c>
      <c r="J339" s="132"/>
    </row>
    <row r="340" spans="1:10" ht="35.25" hidden="1" customHeight="1" x14ac:dyDescent="0.25">
      <c r="A340" s="109"/>
      <c r="B340" s="97"/>
      <c r="C340" s="125"/>
      <c r="D340" s="93"/>
      <c r="E340" s="5"/>
      <c r="F340" s="5"/>
      <c r="G340" s="5"/>
      <c r="H340" s="6" t="e">
        <f>G340-#REF!</f>
        <v>#REF!</v>
      </c>
      <c r="I340" s="24" t="e">
        <f t="shared" si="19"/>
        <v>#REF!</v>
      </c>
      <c r="J340" s="6"/>
    </row>
    <row r="341" spans="1:10" ht="17.25" hidden="1" customHeight="1" x14ac:dyDescent="0.25">
      <c r="A341" s="109"/>
      <c r="B341" s="97"/>
      <c r="C341" s="125"/>
      <c r="D341" s="130"/>
      <c r="E341" s="72"/>
      <c r="F341" s="112"/>
      <c r="G341" s="111"/>
      <c r="H341" s="111"/>
      <c r="I341" s="24" t="e">
        <f t="shared" si="19"/>
        <v>#DIV/0!</v>
      </c>
      <c r="J341" s="111"/>
    </row>
    <row r="342" spans="1:10" ht="21.75" hidden="1" customHeight="1" x14ac:dyDescent="0.3">
      <c r="A342" s="109"/>
      <c r="B342" s="97"/>
      <c r="C342" s="125"/>
      <c r="D342" s="68" t="s">
        <v>15</v>
      </c>
      <c r="E342" s="67">
        <f>SUM(E343:E344)</f>
        <v>0</v>
      </c>
      <c r="F342" s="111">
        <f>SUM(F343:F344)</f>
        <v>0</v>
      </c>
      <c r="G342" s="111">
        <f>SUM(G343:G344)</f>
        <v>0</v>
      </c>
      <c r="H342" s="111" t="e">
        <f>SUM(H343:H344)</f>
        <v>#REF!</v>
      </c>
      <c r="I342" s="24" t="e">
        <f t="shared" si="19"/>
        <v>#REF!</v>
      </c>
      <c r="J342" s="72"/>
    </row>
    <row r="343" spans="1:10" ht="21.75" hidden="1" customHeight="1" x14ac:dyDescent="0.25">
      <c r="A343" s="109"/>
      <c r="B343" s="97"/>
      <c r="C343" s="125"/>
      <c r="D343" s="85"/>
      <c r="E343" s="112"/>
      <c r="F343" s="112"/>
      <c r="G343" s="111"/>
      <c r="H343" s="111" t="e">
        <f>G343-#REF!</f>
        <v>#REF!</v>
      </c>
      <c r="I343" s="24" t="e">
        <f t="shared" si="19"/>
        <v>#REF!</v>
      </c>
      <c r="J343" s="111"/>
    </row>
    <row r="344" spans="1:10" ht="21.75" hidden="1" customHeight="1" x14ac:dyDescent="0.25">
      <c r="A344" s="109"/>
      <c r="B344" s="97"/>
      <c r="C344" s="125"/>
      <c r="D344" s="85"/>
      <c r="E344" s="112"/>
      <c r="F344" s="112"/>
      <c r="G344" s="111"/>
      <c r="H344" s="111" t="e">
        <f>G344-#REF!</f>
        <v>#REF!</v>
      </c>
      <c r="I344" s="24" t="e">
        <f t="shared" si="19"/>
        <v>#REF!</v>
      </c>
      <c r="J344" s="111"/>
    </row>
    <row r="345" spans="1:10" ht="21.75" hidden="1" customHeight="1" x14ac:dyDescent="0.25">
      <c r="A345" s="109"/>
      <c r="B345" s="165"/>
      <c r="C345" s="125"/>
      <c r="D345" s="130"/>
      <c r="E345" s="72"/>
      <c r="F345" s="112"/>
      <c r="G345" s="111"/>
      <c r="H345" s="111"/>
      <c r="I345" s="24" t="e">
        <f t="shared" si="19"/>
        <v>#DIV/0!</v>
      </c>
      <c r="J345" s="111"/>
    </row>
    <row r="346" spans="1:10" ht="21.75" customHeight="1" x14ac:dyDescent="0.3">
      <c r="A346" s="125" t="s">
        <v>80</v>
      </c>
      <c r="B346" s="100">
        <v>4060</v>
      </c>
      <c r="C346" s="125"/>
      <c r="D346" s="68"/>
      <c r="E346" s="131">
        <f>E347+E350</f>
        <v>6520000</v>
      </c>
      <c r="F346" s="131">
        <f>F347+F350</f>
        <v>6520000</v>
      </c>
      <c r="G346" s="131">
        <f>G347+G350</f>
        <v>6520000</v>
      </c>
      <c r="H346" s="131">
        <f>H350</f>
        <v>0</v>
      </c>
      <c r="I346" s="24">
        <f t="shared" si="19"/>
        <v>0</v>
      </c>
      <c r="J346" s="131"/>
    </row>
    <row r="347" spans="1:10" ht="27" hidden="1" customHeight="1" x14ac:dyDescent="0.3">
      <c r="A347" s="125"/>
      <c r="B347" s="100"/>
      <c r="C347" s="125"/>
      <c r="D347" s="68" t="s">
        <v>13</v>
      </c>
      <c r="E347" s="131">
        <f>SUM(E348)</f>
        <v>0</v>
      </c>
      <c r="F347" s="131">
        <f>SUM(F348)</f>
        <v>0</v>
      </c>
      <c r="G347" s="131">
        <f>SUM(G348)</f>
        <v>0</v>
      </c>
      <c r="H347" s="131" t="e">
        <f>SUM(H348)</f>
        <v>#REF!</v>
      </c>
      <c r="I347" s="24" t="e">
        <f t="shared" si="19"/>
        <v>#REF!</v>
      </c>
      <c r="J347" s="131"/>
    </row>
    <row r="348" spans="1:10" ht="26.25" hidden="1" customHeight="1" x14ac:dyDescent="0.25">
      <c r="A348" s="125"/>
      <c r="B348" s="100"/>
      <c r="C348" s="125"/>
      <c r="D348" s="4"/>
      <c r="E348" s="112"/>
      <c r="F348" s="112"/>
      <c r="G348" s="112"/>
      <c r="H348" s="112" t="e">
        <f>G348-#REF!</f>
        <v>#REF!</v>
      </c>
      <c r="I348" s="24" t="e">
        <f t="shared" si="19"/>
        <v>#REF!</v>
      </c>
      <c r="J348" s="112"/>
    </row>
    <row r="349" spans="1:10" ht="10.5" hidden="1" customHeight="1" x14ac:dyDescent="0.25">
      <c r="A349" s="125"/>
      <c r="B349" s="100"/>
      <c r="C349" s="125"/>
      <c r="D349" s="9"/>
      <c r="E349" s="112"/>
      <c r="F349" s="112"/>
      <c r="G349" s="112"/>
      <c r="H349" s="112" t="e">
        <f>G349-#REF!</f>
        <v>#REF!</v>
      </c>
      <c r="I349" s="24" t="e">
        <f t="shared" si="19"/>
        <v>#REF!</v>
      </c>
      <c r="J349" s="112"/>
    </row>
    <row r="350" spans="1:10" ht="26.25" customHeight="1" x14ac:dyDescent="0.3">
      <c r="A350" s="125"/>
      <c r="B350" s="125"/>
      <c r="C350" s="125"/>
      <c r="D350" s="68" t="s">
        <v>15</v>
      </c>
      <c r="E350" s="132">
        <f>SUM(E351:E354)</f>
        <v>6520000</v>
      </c>
      <c r="F350" s="132">
        <f>SUM(F351:F354)</f>
        <v>6520000</v>
      </c>
      <c r="G350" s="132">
        <f>SUM(G351:G354)</f>
        <v>6520000</v>
      </c>
      <c r="H350" s="132">
        <f>H351</f>
        <v>0</v>
      </c>
      <c r="I350" s="24">
        <f t="shared" si="19"/>
        <v>0</v>
      </c>
      <c r="J350" s="132"/>
    </row>
    <row r="351" spans="1:10" ht="37.5" x14ac:dyDescent="0.25">
      <c r="A351" s="125"/>
      <c r="B351" s="100"/>
      <c r="C351" s="125"/>
      <c r="D351" s="93" t="s">
        <v>163</v>
      </c>
      <c r="E351" s="5">
        <f>6520000</f>
        <v>6520000</v>
      </c>
      <c r="F351" s="5">
        <f>6520000</f>
        <v>6520000</v>
      </c>
      <c r="G351" s="112">
        <f>6520000</f>
        <v>6520000</v>
      </c>
      <c r="H351" s="112"/>
      <c r="I351" s="82">
        <f t="shared" si="19"/>
        <v>0</v>
      </c>
      <c r="J351" s="112"/>
    </row>
    <row r="352" spans="1:10" ht="16.5" hidden="1" customHeight="1" x14ac:dyDescent="0.25">
      <c r="A352" s="125"/>
      <c r="B352" s="100"/>
      <c r="C352" s="125"/>
      <c r="D352" s="240"/>
      <c r="E352" s="5"/>
      <c r="F352" s="5"/>
      <c r="G352" s="112"/>
      <c r="H352" s="112" t="e">
        <f>G352-#REF!</f>
        <v>#REF!</v>
      </c>
      <c r="I352" s="82" t="e">
        <f t="shared" si="19"/>
        <v>#REF!</v>
      </c>
      <c r="J352" s="112"/>
    </row>
    <row r="353" spans="1:10" ht="19.5" hidden="1" customHeight="1" x14ac:dyDescent="0.25">
      <c r="A353" s="125"/>
      <c r="B353" s="100"/>
      <c r="C353" s="125"/>
      <c r="D353" s="240"/>
      <c r="E353" s="5"/>
      <c r="F353" s="5"/>
      <c r="G353" s="112"/>
      <c r="H353" s="112" t="e">
        <f>G353-#REF!</f>
        <v>#REF!</v>
      </c>
      <c r="I353" s="82" t="e">
        <f t="shared" si="19"/>
        <v>#REF!</v>
      </c>
      <c r="J353" s="112"/>
    </row>
    <row r="354" spans="1:10" ht="14.25" customHeight="1" x14ac:dyDescent="0.3">
      <c r="A354" s="125"/>
      <c r="B354" s="100"/>
      <c r="C354" s="125"/>
      <c r="D354" s="68"/>
      <c r="E354" s="132"/>
      <c r="F354" s="131"/>
      <c r="G354" s="131"/>
      <c r="H354" s="131"/>
      <c r="I354" s="82"/>
      <c r="J354" s="131"/>
    </row>
    <row r="355" spans="1:10" ht="23.25" hidden="1" customHeight="1" x14ac:dyDescent="0.3">
      <c r="A355" s="125"/>
      <c r="B355" s="100"/>
      <c r="C355" s="125"/>
      <c r="D355" s="68" t="s">
        <v>15</v>
      </c>
      <c r="E355" s="132">
        <f>SUM(E356:E357)</f>
        <v>0</v>
      </c>
      <c r="F355" s="131">
        <f>SUM(F356:F357)</f>
        <v>0</v>
      </c>
      <c r="G355" s="131">
        <f>SUM(G356:G357)</f>
        <v>0</v>
      </c>
      <c r="H355" s="131" t="e">
        <f>SUM(H356:H357)</f>
        <v>#REF!</v>
      </c>
      <c r="I355" s="82" t="e">
        <f t="shared" ref="I355:I370" si="20">H355/G355*100</f>
        <v>#REF!</v>
      </c>
      <c r="J355" s="131"/>
    </row>
    <row r="356" spans="1:10" ht="54" hidden="1" customHeight="1" x14ac:dyDescent="0.25">
      <c r="A356" s="109"/>
      <c r="B356" s="97"/>
      <c r="C356" s="125"/>
      <c r="D356" s="85"/>
      <c r="E356" s="110"/>
      <c r="F356" s="5"/>
      <c r="G356" s="5"/>
      <c r="H356" s="6" t="e">
        <f>G356-#REF!</f>
        <v>#REF!</v>
      </c>
      <c r="I356" s="82" t="e">
        <f t="shared" si="20"/>
        <v>#REF!</v>
      </c>
      <c r="J356" s="6"/>
    </row>
    <row r="357" spans="1:10" ht="22.5" hidden="1" customHeight="1" x14ac:dyDescent="0.25">
      <c r="A357" s="115"/>
      <c r="B357" s="166"/>
      <c r="C357" s="120"/>
      <c r="D357" s="9"/>
      <c r="E357" s="167"/>
      <c r="F357" s="80"/>
      <c r="G357" s="80"/>
      <c r="H357" s="168"/>
      <c r="I357" s="82" t="e">
        <f t="shared" si="20"/>
        <v>#DIV/0!</v>
      </c>
      <c r="J357" s="168"/>
    </row>
    <row r="358" spans="1:10" ht="19.5" hidden="1" customHeight="1" x14ac:dyDescent="0.25">
      <c r="A358" s="143" t="s">
        <v>81</v>
      </c>
      <c r="B358" s="143" t="s">
        <v>82</v>
      </c>
      <c r="C358" s="125"/>
      <c r="D358" s="9"/>
      <c r="E358" s="91">
        <f>E359</f>
        <v>0</v>
      </c>
      <c r="F358" s="10">
        <f>F359</f>
        <v>0</v>
      </c>
      <c r="G358" s="10">
        <f>G359</f>
        <v>0</v>
      </c>
      <c r="H358" s="10" t="e">
        <f>H359</f>
        <v>#REF!</v>
      </c>
      <c r="I358" s="82" t="e">
        <f t="shared" si="20"/>
        <v>#REF!</v>
      </c>
      <c r="J358" s="91"/>
    </row>
    <row r="359" spans="1:10" ht="21" hidden="1" customHeight="1" x14ac:dyDescent="0.3">
      <c r="A359" s="125"/>
      <c r="B359" s="125"/>
      <c r="C359" s="125"/>
      <c r="D359" s="68" t="s">
        <v>13</v>
      </c>
      <c r="E359" s="10">
        <f>SUM(E360)</f>
        <v>0</v>
      </c>
      <c r="F359" s="10">
        <f>SUM(F360)</f>
        <v>0</v>
      </c>
      <c r="G359" s="10">
        <f>SUM(G360)</f>
        <v>0</v>
      </c>
      <c r="H359" s="10" t="e">
        <f>SUM(H360)</f>
        <v>#REF!</v>
      </c>
      <c r="I359" s="82" t="e">
        <f t="shared" si="20"/>
        <v>#REF!</v>
      </c>
      <c r="J359" s="10"/>
    </row>
    <row r="360" spans="1:10" ht="18.75" hidden="1" customHeight="1" x14ac:dyDescent="0.25">
      <c r="A360" s="115"/>
      <c r="B360" s="97"/>
      <c r="C360" s="125"/>
      <c r="D360" s="85"/>
      <c r="E360" s="110"/>
      <c r="F360" s="5"/>
      <c r="G360" s="74"/>
      <c r="H360" s="6" t="e">
        <f>G360-#REF!</f>
        <v>#REF!</v>
      </c>
      <c r="I360" s="82" t="e">
        <f t="shared" si="20"/>
        <v>#REF!</v>
      </c>
      <c r="J360" s="6"/>
    </row>
    <row r="361" spans="1:10" ht="18.75" hidden="1" customHeight="1" x14ac:dyDescent="0.25">
      <c r="A361" s="115"/>
      <c r="B361" s="97"/>
      <c r="C361" s="125"/>
      <c r="D361" s="9"/>
      <c r="E361" s="136"/>
      <c r="F361" s="5"/>
      <c r="G361" s="5"/>
      <c r="H361" s="6"/>
      <c r="I361" s="82" t="e">
        <f t="shared" si="20"/>
        <v>#DIV/0!</v>
      </c>
      <c r="J361" s="6"/>
    </row>
    <row r="362" spans="1:10" ht="31.5" hidden="1" customHeight="1" x14ac:dyDescent="0.25">
      <c r="A362" s="143" t="s">
        <v>83</v>
      </c>
      <c r="B362" s="143" t="s">
        <v>84</v>
      </c>
      <c r="C362" s="125"/>
      <c r="D362" s="9"/>
      <c r="E362" s="91">
        <f>E363+E365</f>
        <v>0</v>
      </c>
      <c r="F362" s="10">
        <f>F363+F365</f>
        <v>0</v>
      </c>
      <c r="G362" s="10">
        <f>G363+G365</f>
        <v>0</v>
      </c>
      <c r="H362" s="10" t="e">
        <f>H363+H365</f>
        <v>#REF!</v>
      </c>
      <c r="I362" s="82" t="e">
        <f t="shared" si="20"/>
        <v>#REF!</v>
      </c>
      <c r="J362" s="91"/>
    </row>
    <row r="363" spans="1:10" ht="31.5" hidden="1" customHeight="1" x14ac:dyDescent="0.3">
      <c r="A363" s="125"/>
      <c r="B363" s="125"/>
      <c r="C363" s="125"/>
      <c r="D363" s="68" t="s">
        <v>13</v>
      </c>
      <c r="E363" s="10">
        <f>SUM(E364)</f>
        <v>0</v>
      </c>
      <c r="F363" s="10">
        <f>SUM(F364)</f>
        <v>0</v>
      </c>
      <c r="G363" s="10">
        <f>SUM(G364)</f>
        <v>0</v>
      </c>
      <c r="H363" s="10" t="e">
        <f>SUM(H364)</f>
        <v>#REF!</v>
      </c>
      <c r="I363" s="82" t="e">
        <f t="shared" si="20"/>
        <v>#REF!</v>
      </c>
      <c r="J363" s="10"/>
    </row>
    <row r="364" spans="1:10" ht="26.25" hidden="1" customHeight="1" x14ac:dyDescent="0.25">
      <c r="A364" s="109"/>
      <c r="B364" s="129"/>
      <c r="C364" s="125"/>
      <c r="D364" s="9"/>
      <c r="E364" s="110"/>
      <c r="F364" s="5"/>
      <c r="G364" s="5"/>
      <c r="H364" s="6" t="e">
        <f>G364-#REF!</f>
        <v>#REF!</v>
      </c>
      <c r="I364" s="82" t="e">
        <f t="shared" si="20"/>
        <v>#REF!</v>
      </c>
      <c r="J364" s="6"/>
    </row>
    <row r="365" spans="1:10" ht="26.25" hidden="1" customHeight="1" x14ac:dyDescent="0.3">
      <c r="A365" s="125"/>
      <c r="B365" s="100"/>
      <c r="C365" s="125"/>
      <c r="D365" s="68" t="s">
        <v>15</v>
      </c>
      <c r="E365" s="132">
        <f>E366</f>
        <v>0</v>
      </c>
      <c r="F365" s="132">
        <f>F366</f>
        <v>0</v>
      </c>
      <c r="G365" s="132">
        <f>G366</f>
        <v>0</v>
      </c>
      <c r="H365" s="132" t="e">
        <f>H366</f>
        <v>#REF!</v>
      </c>
      <c r="I365" s="82" t="e">
        <f t="shared" si="20"/>
        <v>#REF!</v>
      </c>
      <c r="J365" s="132"/>
    </row>
    <row r="366" spans="1:10" ht="25.5" hidden="1" customHeight="1" x14ac:dyDescent="0.25">
      <c r="A366" s="109"/>
      <c r="B366" s="129"/>
      <c r="C366" s="125"/>
      <c r="D366" s="9"/>
      <c r="E366" s="5"/>
      <c r="F366" s="5"/>
      <c r="G366" s="5"/>
      <c r="H366" s="6" t="e">
        <f>G366-#REF!</f>
        <v>#REF!</v>
      </c>
      <c r="I366" s="82" t="e">
        <f t="shared" si="20"/>
        <v>#REF!</v>
      </c>
      <c r="J366" s="6"/>
    </row>
    <row r="367" spans="1:10" ht="16.5" hidden="1" customHeight="1" x14ac:dyDescent="0.25">
      <c r="A367" s="109"/>
      <c r="B367" s="129"/>
      <c r="C367" s="125"/>
      <c r="D367" s="9"/>
      <c r="E367" s="136"/>
      <c r="F367" s="5"/>
      <c r="G367" s="5"/>
      <c r="H367" s="6"/>
      <c r="I367" s="82" t="e">
        <f t="shared" si="20"/>
        <v>#DIV/0!</v>
      </c>
      <c r="J367" s="6"/>
    </row>
    <row r="368" spans="1:10" ht="24.75" customHeight="1" x14ac:dyDescent="0.25">
      <c r="A368" s="18" t="s">
        <v>272</v>
      </c>
      <c r="B368" s="84">
        <v>7324</v>
      </c>
      <c r="C368" s="95"/>
      <c r="D368" s="63"/>
      <c r="E368" s="64">
        <f>E369+E371</f>
        <v>0</v>
      </c>
      <c r="F368" s="64">
        <f>F369+F371</f>
        <v>2400000</v>
      </c>
      <c r="G368" s="64">
        <f>G369+G371</f>
        <v>1300000</v>
      </c>
      <c r="H368" s="64">
        <f>H369+H371</f>
        <v>0</v>
      </c>
      <c r="I368" s="24">
        <f t="shared" si="20"/>
        <v>0</v>
      </c>
      <c r="J368" s="64"/>
    </row>
    <row r="369" spans="1:10" ht="19.5" customHeight="1" x14ac:dyDescent="0.3">
      <c r="A369" s="96"/>
      <c r="B369" s="97"/>
      <c r="C369" s="95"/>
      <c r="D369" s="68" t="s">
        <v>14</v>
      </c>
      <c r="E369" s="10">
        <f>E370</f>
        <v>0</v>
      </c>
      <c r="F369" s="10">
        <f>F370</f>
        <v>2400000</v>
      </c>
      <c r="G369" s="10">
        <f>G370</f>
        <v>1300000</v>
      </c>
      <c r="H369" s="10">
        <f>SUM(H370)</f>
        <v>0</v>
      </c>
      <c r="I369" s="24">
        <f t="shared" si="20"/>
        <v>0</v>
      </c>
      <c r="J369" s="10"/>
    </row>
    <row r="370" spans="1:10" ht="74.25" customHeight="1" x14ac:dyDescent="0.25">
      <c r="A370" s="49"/>
      <c r="B370" s="84"/>
      <c r="C370" s="95"/>
      <c r="D370" s="8" t="s">
        <v>273</v>
      </c>
      <c r="E370" s="7"/>
      <c r="F370" s="5">
        <f>2400000</f>
        <v>2400000</v>
      </c>
      <c r="G370" s="5">
        <f>1300000</f>
        <v>1300000</v>
      </c>
      <c r="H370" s="6"/>
      <c r="I370" s="82">
        <f t="shared" si="20"/>
        <v>0</v>
      </c>
      <c r="J370" s="6"/>
    </row>
    <row r="371" spans="1:10" ht="15.75" customHeight="1" x14ac:dyDescent="0.25">
      <c r="A371" s="109"/>
      <c r="B371" s="129"/>
      <c r="C371" s="125"/>
      <c r="D371" s="169"/>
      <c r="E371" s="136"/>
      <c r="F371" s="5"/>
      <c r="G371" s="5"/>
      <c r="H371" s="6"/>
      <c r="I371" s="82"/>
      <c r="J371" s="6"/>
    </row>
    <row r="372" spans="1:10" ht="26.25" hidden="1" customHeight="1" x14ac:dyDescent="0.25">
      <c r="A372" s="157" t="s">
        <v>85</v>
      </c>
      <c r="B372" s="97"/>
      <c r="C372" s="125"/>
      <c r="D372" s="148" t="s">
        <v>86</v>
      </c>
      <c r="E372" s="19">
        <f>E373</f>
        <v>0</v>
      </c>
      <c r="F372" s="170">
        <f>F373</f>
        <v>0</v>
      </c>
      <c r="G372" s="170">
        <f>G373</f>
        <v>0</v>
      </c>
      <c r="H372" s="170" t="e">
        <f>H373</f>
        <v>#REF!</v>
      </c>
      <c r="I372" s="82" t="e">
        <f t="shared" ref="I372:I400" si="21">H372/G372*100</f>
        <v>#REF!</v>
      </c>
      <c r="J372" s="122"/>
    </row>
    <row r="373" spans="1:10" ht="24" hidden="1" customHeight="1" x14ac:dyDescent="0.25">
      <c r="A373" s="84">
        <v>1115031</v>
      </c>
      <c r="B373" s="75">
        <v>5031</v>
      </c>
      <c r="C373" s="84"/>
      <c r="D373" s="121"/>
      <c r="E373" s="19">
        <f>E374+E377</f>
        <v>0</v>
      </c>
      <c r="F373" s="126">
        <f>F374+F377</f>
        <v>0</v>
      </c>
      <c r="G373" s="126">
        <f>G374+G377</f>
        <v>0</v>
      </c>
      <c r="H373" s="126" t="e">
        <f>H374+H377</f>
        <v>#REF!</v>
      </c>
      <c r="I373" s="82" t="e">
        <f t="shared" si="21"/>
        <v>#REF!</v>
      </c>
      <c r="J373" s="126"/>
    </row>
    <row r="374" spans="1:10" ht="21" hidden="1" customHeight="1" x14ac:dyDescent="0.3">
      <c r="A374" s="125"/>
      <c r="B374" s="125"/>
      <c r="C374" s="125"/>
      <c r="D374" s="68" t="s">
        <v>13</v>
      </c>
      <c r="E374" s="10">
        <f>SUM(E375)</f>
        <v>0</v>
      </c>
      <c r="F374" s="10">
        <f>SUM(F375)</f>
        <v>0</v>
      </c>
      <c r="G374" s="10">
        <f>SUM(G375)</f>
        <v>0</v>
      </c>
      <c r="H374" s="10" t="e">
        <f>SUM(H375)</f>
        <v>#REF!</v>
      </c>
      <c r="I374" s="82" t="e">
        <f t="shared" si="21"/>
        <v>#REF!</v>
      </c>
      <c r="J374" s="10"/>
    </row>
    <row r="375" spans="1:10" ht="24" hidden="1" customHeight="1" x14ac:dyDescent="0.25">
      <c r="A375" s="84"/>
      <c r="B375" s="75"/>
      <c r="C375" s="84"/>
      <c r="D375" s="85"/>
      <c r="E375" s="80"/>
      <c r="F375" s="80"/>
      <c r="G375" s="5"/>
      <c r="H375" s="6" t="e">
        <f>G375-#REF!</f>
        <v>#REF!</v>
      </c>
      <c r="I375" s="82" t="e">
        <f t="shared" si="21"/>
        <v>#REF!</v>
      </c>
      <c r="J375" s="6"/>
    </row>
    <row r="376" spans="1:10" ht="16.5" hidden="1" customHeight="1" x14ac:dyDescent="0.25">
      <c r="A376" s="84"/>
      <c r="B376" s="75"/>
      <c r="C376" s="84"/>
      <c r="D376" s="121"/>
      <c r="E376" s="19"/>
      <c r="F376" s="126"/>
      <c r="G376" s="126"/>
      <c r="H376" s="126"/>
      <c r="I376" s="82" t="e">
        <f t="shared" si="21"/>
        <v>#DIV/0!</v>
      </c>
      <c r="J376" s="19"/>
    </row>
    <row r="377" spans="1:10" ht="27" hidden="1" customHeight="1" x14ac:dyDescent="0.3">
      <c r="A377" s="109"/>
      <c r="B377" s="97"/>
      <c r="C377" s="129"/>
      <c r="D377" s="68" t="s">
        <v>15</v>
      </c>
      <c r="E377" s="171">
        <f>SUM(E378:E386)</f>
        <v>0</v>
      </c>
      <c r="F377" s="172">
        <f>SUM(F378:F386)</f>
        <v>0</v>
      </c>
      <c r="G377" s="172">
        <f>SUM(G378:G386)</f>
        <v>0</v>
      </c>
      <c r="H377" s="172" t="e">
        <f>SUM(H378:H386)</f>
        <v>#REF!</v>
      </c>
      <c r="I377" s="82" t="e">
        <f t="shared" si="21"/>
        <v>#REF!</v>
      </c>
      <c r="J377" s="172"/>
    </row>
    <row r="378" spans="1:10" ht="26.25" hidden="1" customHeight="1" x14ac:dyDescent="0.25">
      <c r="A378" s="109"/>
      <c r="B378" s="97"/>
      <c r="C378" s="125">
        <v>3132</v>
      </c>
      <c r="D378" s="173"/>
      <c r="E378" s="112"/>
      <c r="F378" s="112"/>
      <c r="G378" s="5"/>
      <c r="H378" s="6" t="e">
        <f>G378-#REF!</f>
        <v>#REF!</v>
      </c>
      <c r="I378" s="82" t="e">
        <f t="shared" si="21"/>
        <v>#REF!</v>
      </c>
      <c r="J378" s="6"/>
    </row>
    <row r="379" spans="1:10" ht="26.25" hidden="1" customHeight="1" x14ac:dyDescent="0.25">
      <c r="A379" s="109"/>
      <c r="B379" s="97"/>
      <c r="C379" s="125"/>
      <c r="D379" s="173"/>
      <c r="E379" s="112"/>
      <c r="F379" s="112"/>
      <c r="G379" s="5"/>
      <c r="H379" s="6" t="e">
        <f>G379-#REF!</f>
        <v>#REF!</v>
      </c>
      <c r="I379" s="82" t="e">
        <f t="shared" si="21"/>
        <v>#REF!</v>
      </c>
      <c r="J379" s="6"/>
    </row>
    <row r="380" spans="1:10" ht="26.25" hidden="1" customHeight="1" x14ac:dyDescent="0.25">
      <c r="A380" s="109"/>
      <c r="B380" s="97"/>
      <c r="C380" s="125"/>
      <c r="D380" s="173"/>
      <c r="E380" s="112"/>
      <c r="F380" s="112"/>
      <c r="G380" s="5"/>
      <c r="H380" s="6" t="e">
        <f>G380-#REF!</f>
        <v>#REF!</v>
      </c>
      <c r="I380" s="82" t="e">
        <f t="shared" si="21"/>
        <v>#REF!</v>
      </c>
      <c r="J380" s="6"/>
    </row>
    <row r="381" spans="1:10" ht="26.25" hidden="1" customHeight="1" x14ac:dyDescent="0.3">
      <c r="A381" s="109"/>
      <c r="B381" s="97"/>
      <c r="C381" s="125"/>
      <c r="D381" s="1"/>
      <c r="E381" s="112"/>
      <c r="F381" s="112"/>
      <c r="G381" s="112"/>
      <c r="H381" s="6" t="e">
        <f>G381-#REF!</f>
        <v>#REF!</v>
      </c>
      <c r="I381" s="82" t="e">
        <f t="shared" si="21"/>
        <v>#REF!</v>
      </c>
      <c r="J381" s="6"/>
    </row>
    <row r="382" spans="1:10" ht="26.25" hidden="1" customHeight="1" x14ac:dyDescent="0.3">
      <c r="A382" s="109"/>
      <c r="B382" s="97"/>
      <c r="C382" s="125"/>
      <c r="D382" s="1"/>
      <c r="E382" s="112"/>
      <c r="F382" s="112"/>
      <c r="G382" s="112"/>
      <c r="H382" s="6" t="e">
        <f>G382-#REF!</f>
        <v>#REF!</v>
      </c>
      <c r="I382" s="82" t="e">
        <f t="shared" si="21"/>
        <v>#REF!</v>
      </c>
      <c r="J382" s="6"/>
    </row>
    <row r="383" spans="1:10" ht="26.25" hidden="1" customHeight="1" x14ac:dyDescent="0.25">
      <c r="A383" s="109"/>
      <c r="B383" s="97"/>
      <c r="C383" s="125"/>
      <c r="D383" s="173"/>
      <c r="E383" s="112"/>
      <c r="F383" s="112"/>
      <c r="G383" s="5"/>
      <c r="H383" s="6" t="e">
        <f>G383-#REF!</f>
        <v>#REF!</v>
      </c>
      <c r="I383" s="82" t="e">
        <f t="shared" si="21"/>
        <v>#REF!</v>
      </c>
      <c r="J383" s="6"/>
    </row>
    <row r="384" spans="1:10" ht="26.25" hidden="1" customHeight="1" x14ac:dyDescent="0.25">
      <c r="A384" s="109"/>
      <c r="B384" s="97"/>
      <c r="C384" s="125"/>
      <c r="D384" s="53"/>
      <c r="E384" s="112"/>
      <c r="F384" s="112"/>
      <c r="G384" s="5"/>
      <c r="H384" s="6" t="e">
        <f>G384-#REF!</f>
        <v>#REF!</v>
      </c>
      <c r="I384" s="82" t="e">
        <f t="shared" si="21"/>
        <v>#REF!</v>
      </c>
      <c r="J384" s="6"/>
    </row>
    <row r="385" spans="1:10" ht="26.25" hidden="1" customHeight="1" x14ac:dyDescent="0.25">
      <c r="A385" s="109"/>
      <c r="B385" s="97"/>
      <c r="C385" s="125"/>
      <c r="D385" s="53"/>
      <c r="E385" s="112"/>
      <c r="F385" s="112"/>
      <c r="G385" s="5"/>
      <c r="H385" s="6" t="e">
        <f>G385-#REF!</f>
        <v>#REF!</v>
      </c>
      <c r="I385" s="82" t="e">
        <f t="shared" si="21"/>
        <v>#REF!</v>
      </c>
      <c r="J385" s="6"/>
    </row>
    <row r="386" spans="1:10" ht="26.25" hidden="1" customHeight="1" x14ac:dyDescent="0.25">
      <c r="A386" s="109"/>
      <c r="B386" s="97"/>
      <c r="C386" s="125"/>
      <c r="D386" s="53"/>
      <c r="E386" s="112"/>
      <c r="F386" s="112"/>
      <c r="G386" s="5"/>
      <c r="H386" s="6" t="e">
        <f>G386-#REF!</f>
        <v>#REF!</v>
      </c>
      <c r="I386" s="82" t="e">
        <f t="shared" si="21"/>
        <v>#REF!</v>
      </c>
      <c r="J386" s="6"/>
    </row>
    <row r="387" spans="1:10" ht="18" hidden="1" customHeight="1" x14ac:dyDescent="0.3">
      <c r="A387" s="109"/>
      <c r="B387" s="116"/>
      <c r="C387" s="109"/>
      <c r="D387" s="174"/>
      <c r="E387" s="175"/>
      <c r="F387" s="5"/>
      <c r="G387" s="5"/>
      <c r="H387" s="6"/>
      <c r="I387" s="82" t="e">
        <f t="shared" si="21"/>
        <v>#DIV/0!</v>
      </c>
      <c r="J387" s="45"/>
    </row>
    <row r="388" spans="1:10" s="179" customFormat="1" ht="36" customHeight="1" x14ac:dyDescent="0.3">
      <c r="A388" s="176" t="s">
        <v>87</v>
      </c>
      <c r="B388" s="177"/>
      <c r="C388" s="155"/>
      <c r="D388" s="318" t="s">
        <v>88</v>
      </c>
      <c r="E388" s="178">
        <f>E480+E486+E389+E395+E502+E510+E522+E536+E597+E601+E608</f>
        <v>119883355</v>
      </c>
      <c r="F388" s="178">
        <f>F480+F486+F389+F395+F502+F510+F522+F536+F597+F601+F608</f>
        <v>102009873</v>
      </c>
      <c r="G388" s="178">
        <f>G480+G486+G389+G395+G502+G510+G522+G536+G597+G601+G608</f>
        <v>43648602</v>
      </c>
      <c r="H388" s="178">
        <f>H395+H480+H510+H536+H601+H608</f>
        <v>18299041.599999998</v>
      </c>
      <c r="I388" s="24">
        <f t="shared" si="21"/>
        <v>41.923545684235194</v>
      </c>
      <c r="J388" s="178"/>
    </row>
    <row r="389" spans="1:10" ht="24" hidden="1" customHeight="1" x14ac:dyDescent="0.3">
      <c r="A389" s="125">
        <v>3110160</v>
      </c>
      <c r="B389" s="100" t="s">
        <v>61</v>
      </c>
      <c r="C389" s="125"/>
      <c r="D389" s="77"/>
      <c r="E389" s="19">
        <f>E390+E392</f>
        <v>0</v>
      </c>
      <c r="F389" s="126">
        <f>F390+F392</f>
        <v>0</v>
      </c>
      <c r="G389" s="126">
        <f>G390+G392</f>
        <v>0</v>
      </c>
      <c r="H389" s="126" t="e">
        <f>H390+H392</f>
        <v>#REF!</v>
      </c>
      <c r="I389" s="24" t="e">
        <f t="shared" si="21"/>
        <v>#REF!</v>
      </c>
      <c r="J389" s="19"/>
    </row>
    <row r="390" spans="1:10" ht="27.75" hidden="1" customHeight="1" x14ac:dyDescent="0.3">
      <c r="A390" s="125"/>
      <c r="B390" s="180"/>
      <c r="C390" s="125"/>
      <c r="D390" s="68" t="s">
        <v>16</v>
      </c>
      <c r="E390" s="69">
        <f>SUM(E391)</f>
        <v>0</v>
      </c>
      <c r="F390" s="45">
        <f>SUM(F391)</f>
        <v>0</v>
      </c>
      <c r="G390" s="45">
        <f>SUM(G391)</f>
        <v>0</v>
      </c>
      <c r="H390" s="45" t="e">
        <f>SUM(H391)</f>
        <v>#REF!</v>
      </c>
      <c r="I390" s="24" t="e">
        <f t="shared" si="21"/>
        <v>#REF!</v>
      </c>
      <c r="J390" s="69"/>
    </row>
    <row r="391" spans="1:10" hidden="1" x14ac:dyDescent="0.25">
      <c r="A391" s="109"/>
      <c r="B391" s="97"/>
      <c r="C391" s="125">
        <v>3142</v>
      </c>
      <c r="D391" s="93"/>
      <c r="E391" s="6"/>
      <c r="F391" s="5"/>
      <c r="G391" s="5"/>
      <c r="H391" s="6" t="e">
        <f>G391-#REF!</f>
        <v>#REF!</v>
      </c>
      <c r="I391" s="24" t="e">
        <f t="shared" si="21"/>
        <v>#REF!</v>
      </c>
      <c r="J391" s="6"/>
    </row>
    <row r="392" spans="1:10" ht="35.25" hidden="1" customHeight="1" x14ac:dyDescent="0.3">
      <c r="A392" s="109"/>
      <c r="B392" s="97"/>
      <c r="C392" s="125"/>
      <c r="D392" s="68" t="s">
        <v>15</v>
      </c>
      <c r="E392" s="45">
        <f>SUM(E393:E394)</f>
        <v>0</v>
      </c>
      <c r="F392" s="45">
        <f>SUM(F393:F394)</f>
        <v>0</v>
      </c>
      <c r="G392" s="45">
        <f>SUM(G393:G394)</f>
        <v>0</v>
      </c>
      <c r="H392" s="45" t="e">
        <f>SUM(H393:H394)</f>
        <v>#REF!</v>
      </c>
      <c r="I392" s="24" t="e">
        <f t="shared" si="21"/>
        <v>#REF!</v>
      </c>
      <c r="J392" s="45"/>
    </row>
    <row r="393" spans="1:10" ht="42" hidden="1" customHeight="1" x14ac:dyDescent="0.25">
      <c r="A393" s="109"/>
      <c r="B393" s="125"/>
      <c r="C393" s="125">
        <v>3132</v>
      </c>
      <c r="D393" s="130"/>
      <c r="E393" s="7"/>
      <c r="F393" s="6"/>
      <c r="G393" s="5"/>
      <c r="H393" s="6" t="e">
        <f>G393-#REF!</f>
        <v>#REF!</v>
      </c>
      <c r="I393" s="24" t="e">
        <f t="shared" si="21"/>
        <v>#REF!</v>
      </c>
      <c r="J393" s="6"/>
    </row>
    <row r="394" spans="1:10" ht="16.5" hidden="1" customHeight="1" x14ac:dyDescent="0.25">
      <c r="A394" s="109"/>
      <c r="B394" s="125"/>
      <c r="C394" s="125"/>
      <c r="D394" s="128"/>
      <c r="E394" s="7"/>
      <c r="F394" s="6"/>
      <c r="G394" s="5"/>
      <c r="H394" s="6"/>
      <c r="I394" s="24" t="e">
        <f t="shared" si="21"/>
        <v>#DIV/0!</v>
      </c>
      <c r="J394" s="6"/>
    </row>
    <row r="395" spans="1:10" ht="18.75" customHeight="1" x14ac:dyDescent="0.25">
      <c r="A395" s="125">
        <v>3116030</v>
      </c>
      <c r="B395" s="125">
        <v>6030</v>
      </c>
      <c r="C395" s="125"/>
      <c r="D395" s="130"/>
      <c r="E395" s="126">
        <f>E396+E477</f>
        <v>75475000</v>
      </c>
      <c r="F395" s="126">
        <f>F396+F477</f>
        <v>49922958</v>
      </c>
      <c r="G395" s="126">
        <f>G396+G477</f>
        <v>22960122</v>
      </c>
      <c r="H395" s="126">
        <f>H396+H477</f>
        <v>13951816.33</v>
      </c>
      <c r="I395" s="24">
        <f t="shared" si="21"/>
        <v>60.765427683703081</v>
      </c>
      <c r="J395" s="126"/>
    </row>
    <row r="396" spans="1:10" ht="20.25" customHeight="1" x14ac:dyDescent="0.3">
      <c r="A396" s="125"/>
      <c r="B396" s="125"/>
      <c r="C396" s="125"/>
      <c r="D396" s="68" t="s">
        <v>15</v>
      </c>
      <c r="E396" s="126">
        <f>E397+E424+E431+E435+E438+E447+E453+E461</f>
        <v>73975000</v>
      </c>
      <c r="F396" s="126">
        <f>F397+F424+F431+F435+F438+F447+F453+F461+F468</f>
        <v>48422958</v>
      </c>
      <c r="G396" s="126">
        <f>G397+G424+G431+G435+G438+G447+G453+G461+G468</f>
        <v>22960122</v>
      </c>
      <c r="H396" s="126">
        <f>H397+H424+H438+H453+H461+H468</f>
        <v>13951816.33</v>
      </c>
      <c r="I396" s="24">
        <f t="shared" si="21"/>
        <v>60.765427683703081</v>
      </c>
      <c r="J396" s="126">
        <f>J397+J424+J431+J435+J438+J447+J453+J461</f>
        <v>0</v>
      </c>
    </row>
    <row r="397" spans="1:10" ht="21" customHeight="1" x14ac:dyDescent="0.25">
      <c r="A397" s="176"/>
      <c r="B397" s="125">
        <v>3116030</v>
      </c>
      <c r="C397" s="125">
        <v>3132</v>
      </c>
      <c r="D397" s="181" t="s">
        <v>89</v>
      </c>
      <c r="E397" s="45">
        <f>SUM(E398:E422)</f>
        <v>65500000</v>
      </c>
      <c r="F397" s="45">
        <f>SUM(F398:F422)</f>
        <v>33584720</v>
      </c>
      <c r="G397" s="45">
        <f>SUM(G398:G422)</f>
        <v>19740465</v>
      </c>
      <c r="H397" s="45">
        <f>SUM(H398:H407)</f>
        <v>11316332.01</v>
      </c>
      <c r="I397" s="24">
        <f t="shared" si="21"/>
        <v>57.325559504297388</v>
      </c>
      <c r="J397" s="126"/>
    </row>
    <row r="398" spans="1:10" ht="40.5" customHeight="1" x14ac:dyDescent="0.25">
      <c r="A398" s="176"/>
      <c r="B398" s="125"/>
      <c r="C398" s="125"/>
      <c r="D398" s="54" t="s">
        <v>164</v>
      </c>
      <c r="E398" s="156">
        <v>4000000</v>
      </c>
      <c r="F398" s="156">
        <f>4000000+512391</f>
        <v>4512391</v>
      </c>
      <c r="G398" s="7">
        <f>2512391-650000+2650000</f>
        <v>4512391</v>
      </c>
      <c r="H398" s="6"/>
      <c r="I398" s="82">
        <f t="shared" si="21"/>
        <v>0</v>
      </c>
      <c r="J398" s="6"/>
    </row>
    <row r="399" spans="1:10" ht="39" customHeight="1" x14ac:dyDescent="0.25">
      <c r="A399" s="176"/>
      <c r="B399" s="125"/>
      <c r="C399" s="125"/>
      <c r="D399" s="54" t="s">
        <v>165</v>
      </c>
      <c r="E399" s="156">
        <v>16644236</v>
      </c>
      <c r="F399" s="156">
        <f>16644236-700000</f>
        <v>15944236</v>
      </c>
      <c r="G399" s="7">
        <f>2644236-700000-1010+2000000-2000000-139947+2000000</f>
        <v>3803279</v>
      </c>
      <c r="H399" s="6"/>
      <c r="I399" s="82">
        <f t="shared" si="21"/>
        <v>0</v>
      </c>
      <c r="J399" s="6"/>
    </row>
    <row r="400" spans="1:10" ht="78.75" customHeight="1" x14ac:dyDescent="0.25">
      <c r="A400" s="176"/>
      <c r="B400" s="125"/>
      <c r="C400" s="125"/>
      <c r="D400" s="54" t="s">
        <v>166</v>
      </c>
      <c r="E400" s="156">
        <f>13418912-63148</f>
        <v>13355764</v>
      </c>
      <c r="F400" s="156">
        <f>13418912-63148-2000000</f>
        <v>11355764</v>
      </c>
      <c r="G400" s="7">
        <f>1211528+644236-644236-1211528+500000+244127+1951939+625329+51600+3951800+2000000+1000000+1000000</f>
        <v>11324795</v>
      </c>
      <c r="H400" s="7">
        <f>11316332.01</f>
        <v>11316332.01</v>
      </c>
      <c r="I400" s="82">
        <f t="shared" si="21"/>
        <v>99.925270258755233</v>
      </c>
      <c r="J400" s="6"/>
    </row>
    <row r="401" spans="1:10" ht="23.25" customHeight="1" x14ac:dyDescent="0.25">
      <c r="A401" s="176"/>
      <c r="B401" s="125"/>
      <c r="C401" s="125"/>
      <c r="D401" s="54" t="s">
        <v>167</v>
      </c>
      <c r="E401" s="156">
        <v>3000000</v>
      </c>
      <c r="F401" s="156">
        <f>3000000-3000000</f>
        <v>0</v>
      </c>
      <c r="G401" s="7">
        <f>1000000-1000000</f>
        <v>0</v>
      </c>
      <c r="H401" s="6"/>
      <c r="I401" s="82"/>
      <c r="J401" s="6"/>
    </row>
    <row r="402" spans="1:10" ht="22.5" customHeight="1" x14ac:dyDescent="0.25">
      <c r="A402" s="176"/>
      <c r="B402" s="125"/>
      <c r="C402" s="125"/>
      <c r="D402" s="54" t="s">
        <v>168</v>
      </c>
      <c r="E402" s="156">
        <v>26500000</v>
      </c>
      <c r="F402" s="156">
        <f>26500000-11617133-4930000-9327538-500000</f>
        <v>125329</v>
      </c>
      <c r="G402" s="7">
        <f>190000-64671-125329</f>
        <v>0</v>
      </c>
      <c r="H402" s="6"/>
      <c r="I402" s="82"/>
      <c r="J402" s="6"/>
    </row>
    <row r="403" spans="1:10" ht="75.75" customHeight="1" x14ac:dyDescent="0.25">
      <c r="A403" s="176"/>
      <c r="B403" s="125"/>
      <c r="C403" s="125"/>
      <c r="D403" s="54" t="s">
        <v>169</v>
      </c>
      <c r="E403" s="156">
        <v>2000000</v>
      </c>
      <c r="F403" s="156">
        <f>2000000-1500000</f>
        <v>500000</v>
      </c>
      <c r="G403" s="7">
        <f>100000</f>
        <v>100000</v>
      </c>
      <c r="H403" s="6"/>
      <c r="I403" s="82">
        <f>H403/G403*100</f>
        <v>0</v>
      </c>
      <c r="J403" s="6"/>
    </row>
    <row r="404" spans="1:10" ht="93.75" x14ac:dyDescent="0.25">
      <c r="A404" s="176"/>
      <c r="B404" s="125"/>
      <c r="C404" s="125"/>
      <c r="D404" s="210" t="s">
        <v>241</v>
      </c>
      <c r="E404" s="69"/>
      <c r="F404" s="7">
        <f>49000</f>
        <v>49000</v>
      </c>
      <c r="G404" s="7"/>
      <c r="H404" s="6"/>
      <c r="I404" s="82"/>
      <c r="J404" s="6"/>
    </row>
    <row r="405" spans="1:10" ht="59.25" customHeight="1" x14ac:dyDescent="0.25">
      <c r="A405" s="176"/>
      <c r="B405" s="125"/>
      <c r="C405" s="125"/>
      <c r="D405" s="210" t="s">
        <v>242</v>
      </c>
      <c r="E405" s="69"/>
      <c r="F405" s="7">
        <f>49000</f>
        <v>49000</v>
      </c>
      <c r="G405" s="7"/>
      <c r="H405" s="6"/>
      <c r="I405" s="82"/>
      <c r="J405" s="6"/>
    </row>
    <row r="406" spans="1:10" ht="57.75" customHeight="1" x14ac:dyDescent="0.25">
      <c r="A406" s="176"/>
      <c r="B406" s="125"/>
      <c r="C406" s="125"/>
      <c r="D406" s="210" t="s">
        <v>243</v>
      </c>
      <c r="E406" s="69"/>
      <c r="F406" s="7">
        <f>49000</f>
        <v>49000</v>
      </c>
      <c r="G406" s="7"/>
      <c r="H406" s="6"/>
      <c r="I406" s="82"/>
      <c r="J406" s="6"/>
    </row>
    <row r="407" spans="1:10" ht="56.25" x14ac:dyDescent="0.25">
      <c r="A407" s="176"/>
      <c r="B407" s="125"/>
      <c r="C407" s="125"/>
      <c r="D407" s="210" t="s">
        <v>244</v>
      </c>
      <c r="E407" s="69"/>
      <c r="F407" s="7">
        <f>1000000</f>
        <v>1000000</v>
      </c>
      <c r="G407" s="7"/>
      <c r="H407" s="6"/>
      <c r="I407" s="82"/>
      <c r="J407" s="6"/>
    </row>
    <row r="408" spans="1:10" hidden="1" x14ac:dyDescent="0.3">
      <c r="A408" s="176"/>
      <c r="B408" s="125"/>
      <c r="C408" s="125"/>
      <c r="D408" s="326"/>
      <c r="E408" s="69"/>
      <c r="F408" s="7"/>
      <c r="G408" s="7"/>
      <c r="H408" s="6" t="e">
        <f>G408-#REF!</f>
        <v>#REF!</v>
      </c>
      <c r="I408" s="82"/>
      <c r="J408" s="6"/>
    </row>
    <row r="409" spans="1:10" hidden="1" x14ac:dyDescent="0.25">
      <c r="A409" s="176"/>
      <c r="B409" s="125"/>
      <c r="C409" s="125"/>
      <c r="D409" s="210"/>
      <c r="E409" s="69"/>
      <c r="F409" s="7"/>
      <c r="G409" s="7"/>
      <c r="H409" s="6" t="e">
        <f>G409-#REF!</f>
        <v>#REF!</v>
      </c>
      <c r="I409" s="82"/>
      <c r="J409" s="6"/>
    </row>
    <row r="410" spans="1:10" hidden="1" x14ac:dyDescent="0.25">
      <c r="A410" s="176"/>
      <c r="B410" s="125"/>
      <c r="C410" s="125"/>
      <c r="D410" s="210"/>
      <c r="E410" s="69"/>
      <c r="F410" s="7"/>
      <c r="G410" s="7"/>
      <c r="H410" s="6" t="e">
        <f>G410-#REF!</f>
        <v>#REF!</v>
      </c>
      <c r="I410" s="82"/>
      <c r="J410" s="6"/>
    </row>
    <row r="411" spans="1:10" hidden="1" x14ac:dyDescent="0.25">
      <c r="A411" s="176"/>
      <c r="B411" s="125"/>
      <c r="C411" s="125"/>
      <c r="D411" s="210"/>
      <c r="E411" s="69"/>
      <c r="F411" s="7"/>
      <c r="G411" s="7"/>
      <c r="H411" s="6" t="e">
        <f>G411-#REF!</f>
        <v>#REF!</v>
      </c>
      <c r="I411" s="82"/>
      <c r="J411" s="6"/>
    </row>
    <row r="412" spans="1:10" hidden="1" x14ac:dyDescent="0.25">
      <c r="A412" s="176"/>
      <c r="B412" s="125"/>
      <c r="C412" s="125"/>
      <c r="D412" s="210"/>
      <c r="E412" s="69"/>
      <c r="F412" s="7"/>
      <c r="G412" s="7"/>
      <c r="H412" s="6" t="e">
        <f>G412-#REF!</f>
        <v>#REF!</v>
      </c>
      <c r="I412" s="82"/>
      <c r="J412" s="6"/>
    </row>
    <row r="413" spans="1:10" hidden="1" x14ac:dyDescent="0.25">
      <c r="A413" s="176"/>
      <c r="B413" s="125"/>
      <c r="C413" s="125"/>
      <c r="D413" s="210"/>
      <c r="E413" s="69"/>
      <c r="F413" s="7"/>
      <c r="G413" s="7"/>
      <c r="H413" s="6" t="e">
        <f>G413-#REF!</f>
        <v>#REF!</v>
      </c>
      <c r="I413" s="82"/>
      <c r="J413" s="6"/>
    </row>
    <row r="414" spans="1:10" hidden="1" x14ac:dyDescent="0.25">
      <c r="A414" s="176"/>
      <c r="B414" s="125"/>
      <c r="C414" s="125"/>
      <c r="D414" s="210"/>
      <c r="E414" s="69"/>
      <c r="F414" s="7"/>
      <c r="G414" s="7"/>
      <c r="H414" s="6" t="e">
        <f>G414-#REF!</f>
        <v>#REF!</v>
      </c>
      <c r="I414" s="82"/>
      <c r="J414" s="6"/>
    </row>
    <row r="415" spans="1:10" hidden="1" x14ac:dyDescent="0.25">
      <c r="A415" s="176"/>
      <c r="B415" s="125"/>
      <c r="C415" s="125"/>
      <c r="D415" s="210"/>
      <c r="E415" s="69"/>
      <c r="F415" s="7"/>
      <c r="G415" s="7"/>
      <c r="H415" s="6" t="e">
        <f>G415-#REF!</f>
        <v>#REF!</v>
      </c>
      <c r="I415" s="82"/>
      <c r="J415" s="6"/>
    </row>
    <row r="416" spans="1:10" hidden="1" x14ac:dyDescent="0.25">
      <c r="A416" s="176"/>
      <c r="B416" s="125"/>
      <c r="C416" s="125"/>
      <c r="D416" s="210"/>
      <c r="E416" s="69"/>
      <c r="F416" s="7"/>
      <c r="G416" s="7"/>
      <c r="H416" s="6" t="e">
        <f>G416-#REF!</f>
        <v>#REF!</v>
      </c>
      <c r="I416" s="82"/>
      <c r="J416" s="6"/>
    </row>
    <row r="417" spans="1:10" hidden="1" x14ac:dyDescent="0.25">
      <c r="A417" s="176"/>
      <c r="B417" s="125"/>
      <c r="C417" s="125"/>
      <c r="D417" s="210"/>
      <c r="E417" s="69"/>
      <c r="F417" s="7"/>
      <c r="G417" s="7"/>
      <c r="H417" s="6" t="e">
        <f>G417-#REF!</f>
        <v>#REF!</v>
      </c>
      <c r="I417" s="82"/>
      <c r="J417" s="6"/>
    </row>
    <row r="418" spans="1:10" hidden="1" x14ac:dyDescent="0.25">
      <c r="A418" s="176"/>
      <c r="B418" s="125"/>
      <c r="C418" s="125"/>
      <c r="D418" s="210"/>
      <c r="E418" s="69"/>
      <c r="F418" s="7"/>
      <c r="G418" s="7"/>
      <c r="H418" s="6" t="e">
        <f>G418-#REF!</f>
        <v>#REF!</v>
      </c>
      <c r="I418" s="82"/>
      <c r="J418" s="6"/>
    </row>
    <row r="419" spans="1:10" ht="31.5" hidden="1" customHeight="1" x14ac:dyDescent="0.25">
      <c r="A419" s="176"/>
      <c r="B419" s="125"/>
      <c r="C419" s="125"/>
      <c r="D419" s="183"/>
      <c r="E419" s="74"/>
      <c r="F419" s="74"/>
      <c r="G419" s="74"/>
      <c r="H419" s="6" t="e">
        <f>G419-#REF!</f>
        <v>#REF!</v>
      </c>
      <c r="I419" s="82"/>
      <c r="J419" s="6"/>
    </row>
    <row r="420" spans="1:10" hidden="1" x14ac:dyDescent="0.25">
      <c r="A420" s="109"/>
      <c r="B420" s="125"/>
      <c r="C420" s="127"/>
      <c r="D420" s="183"/>
      <c r="E420" s="74"/>
      <c r="F420" s="184"/>
      <c r="G420" s="74"/>
      <c r="H420" s="6" t="e">
        <f>G420-#REF!</f>
        <v>#REF!</v>
      </c>
      <c r="I420" s="82"/>
      <c r="J420" s="6"/>
    </row>
    <row r="421" spans="1:10" hidden="1" x14ac:dyDescent="0.25">
      <c r="A421" s="109"/>
      <c r="B421" s="125"/>
      <c r="C421" s="127"/>
      <c r="D421" s="240"/>
      <c r="E421" s="74"/>
      <c r="F421" s="184"/>
      <c r="G421" s="74"/>
      <c r="H421" s="6" t="e">
        <f>G421-#REF!</f>
        <v>#REF!</v>
      </c>
      <c r="I421" s="82"/>
      <c r="J421" s="6"/>
    </row>
    <row r="422" spans="1:10" ht="14.25" hidden="1" customHeight="1" x14ac:dyDescent="0.25">
      <c r="A422" s="109"/>
      <c r="B422" s="125"/>
      <c r="C422" s="127"/>
      <c r="D422" s="240"/>
      <c r="E422" s="74"/>
      <c r="F422" s="74"/>
      <c r="G422" s="74"/>
      <c r="H422" s="6"/>
      <c r="I422" s="82"/>
      <c r="J422" s="185"/>
    </row>
    <row r="423" spans="1:10" ht="14.25" customHeight="1" x14ac:dyDescent="0.25">
      <c r="A423" s="109"/>
      <c r="B423" s="125"/>
      <c r="C423" s="127"/>
      <c r="D423" s="240"/>
      <c r="E423" s="74"/>
      <c r="F423" s="74"/>
      <c r="G423" s="74"/>
      <c r="H423" s="6"/>
      <c r="I423" s="82"/>
      <c r="J423" s="185"/>
    </row>
    <row r="424" spans="1:10" ht="21" customHeight="1" x14ac:dyDescent="0.25">
      <c r="A424" s="109"/>
      <c r="B424" s="125">
        <v>3116030</v>
      </c>
      <c r="C424" s="125">
        <v>3132</v>
      </c>
      <c r="D424" s="186" t="s">
        <v>90</v>
      </c>
      <c r="E424" s="126">
        <f>SUM(E425:E430)</f>
        <v>0</v>
      </c>
      <c r="F424" s="126">
        <f>SUM(F425:F430)</f>
        <v>0</v>
      </c>
      <c r="G424" s="126">
        <f>SUM(G425:G430)</f>
        <v>0</v>
      </c>
      <c r="H424" s="126">
        <f>H425</f>
        <v>0</v>
      </c>
      <c r="I424" s="82"/>
      <c r="J424" s="187"/>
    </row>
    <row r="425" spans="1:10" ht="54.75" customHeight="1" x14ac:dyDescent="0.25">
      <c r="A425" s="109"/>
      <c r="B425" s="125"/>
      <c r="C425" s="127"/>
      <c r="D425" s="188" t="s">
        <v>227</v>
      </c>
      <c r="E425" s="189"/>
      <c r="F425" s="189">
        <f>1500000-1500000</f>
        <v>0</v>
      </c>
      <c r="G425" s="74"/>
      <c r="H425" s="6"/>
      <c r="I425" s="82"/>
      <c r="J425" s="185"/>
    </row>
    <row r="426" spans="1:10" ht="30.75" hidden="1" customHeight="1" x14ac:dyDescent="0.25">
      <c r="A426" s="109"/>
      <c r="B426" s="125"/>
      <c r="C426" s="127"/>
      <c r="D426" s="137"/>
      <c r="E426" s="189"/>
      <c r="F426" s="189"/>
      <c r="G426" s="74"/>
      <c r="H426" s="6" t="e">
        <f>G426-#REF!</f>
        <v>#REF!</v>
      </c>
      <c r="I426" s="82"/>
      <c r="J426" s="185"/>
    </row>
    <row r="427" spans="1:10" ht="30.75" hidden="1" customHeight="1" x14ac:dyDescent="0.25">
      <c r="A427" s="109"/>
      <c r="B427" s="125"/>
      <c r="C427" s="127"/>
      <c r="D427" s="240"/>
      <c r="E427" s="189"/>
      <c r="F427" s="189"/>
      <c r="G427" s="74"/>
      <c r="H427" s="6" t="e">
        <f>G427-#REF!</f>
        <v>#REF!</v>
      </c>
      <c r="I427" s="82"/>
      <c r="J427" s="185"/>
    </row>
    <row r="428" spans="1:10" ht="30.75" hidden="1" customHeight="1" x14ac:dyDescent="0.25">
      <c r="A428" s="109"/>
      <c r="B428" s="125"/>
      <c r="C428" s="127"/>
      <c r="D428" s="240"/>
      <c r="E428" s="189"/>
      <c r="F428" s="189"/>
      <c r="G428" s="74"/>
      <c r="H428" s="6" t="e">
        <f>G428-#REF!</f>
        <v>#REF!</v>
      </c>
      <c r="I428" s="82"/>
      <c r="J428" s="185"/>
    </row>
    <row r="429" spans="1:10" ht="30.75" hidden="1" customHeight="1" x14ac:dyDescent="0.25">
      <c r="A429" s="109"/>
      <c r="B429" s="125"/>
      <c r="C429" s="127"/>
      <c r="D429" s="240"/>
      <c r="E429" s="189"/>
      <c r="F429" s="189"/>
      <c r="G429" s="74"/>
      <c r="H429" s="6" t="e">
        <f>G429-#REF!</f>
        <v>#REF!</v>
      </c>
      <c r="I429" s="82"/>
      <c r="J429" s="185"/>
    </row>
    <row r="430" spans="1:10" ht="15" customHeight="1" x14ac:dyDescent="0.25">
      <c r="A430" s="176"/>
      <c r="B430" s="125"/>
      <c r="C430" s="129"/>
      <c r="D430" s="240"/>
      <c r="E430" s="6"/>
      <c r="F430" s="6"/>
      <c r="G430" s="74"/>
      <c r="H430" s="6"/>
      <c r="I430" s="82"/>
      <c r="J430" s="185"/>
    </row>
    <row r="431" spans="1:10" ht="36" hidden="1" customHeight="1" x14ac:dyDescent="0.25">
      <c r="A431" s="176"/>
      <c r="B431" s="125">
        <v>3116030</v>
      </c>
      <c r="C431" s="125">
        <v>3132</v>
      </c>
      <c r="D431" s="186" t="s">
        <v>91</v>
      </c>
      <c r="E431" s="19">
        <f>SUM(E434:E434)</f>
        <v>0</v>
      </c>
      <c r="F431" s="126">
        <f>SUM(F432:F434)</f>
        <v>0</v>
      </c>
      <c r="G431" s="126">
        <f>SUM(G432:G434)</f>
        <v>0</v>
      </c>
      <c r="H431" s="126" t="e">
        <f>SUM(H432:H434)</f>
        <v>#REF!</v>
      </c>
      <c r="I431" s="82" t="e">
        <f t="shared" ref="I431:I445" si="22">H431/G431*100</f>
        <v>#REF!</v>
      </c>
      <c r="J431" s="126"/>
    </row>
    <row r="432" spans="1:10" ht="30.75" hidden="1" customHeight="1" x14ac:dyDescent="0.25">
      <c r="A432" s="176"/>
      <c r="B432" s="125"/>
      <c r="C432" s="125"/>
      <c r="D432" s="317"/>
      <c r="E432" s="189"/>
      <c r="F432" s="189"/>
      <c r="G432" s="190"/>
      <c r="H432" s="6" t="e">
        <f>G432-#REF!</f>
        <v>#REF!</v>
      </c>
      <c r="I432" s="82" t="e">
        <f t="shared" si="22"/>
        <v>#REF!</v>
      </c>
      <c r="J432" s="185"/>
    </row>
    <row r="433" spans="1:10" ht="30.75" hidden="1" customHeight="1" x14ac:dyDescent="0.25">
      <c r="A433" s="176"/>
      <c r="B433" s="125"/>
      <c r="C433" s="125"/>
      <c r="D433" s="317"/>
      <c r="E433" s="189"/>
      <c r="F433" s="189"/>
      <c r="G433" s="190"/>
      <c r="H433" s="6" t="e">
        <f>G433-#REF!</f>
        <v>#REF!</v>
      </c>
      <c r="I433" s="82" t="e">
        <f t="shared" si="22"/>
        <v>#REF!</v>
      </c>
      <c r="J433" s="185"/>
    </row>
    <row r="434" spans="1:10" ht="16.5" hidden="1" customHeight="1" x14ac:dyDescent="0.3">
      <c r="A434" s="109"/>
      <c r="B434" s="125"/>
      <c r="C434" s="127"/>
      <c r="D434" s="321"/>
      <c r="E434" s="7"/>
      <c r="F434" s="6"/>
      <c r="G434" s="74"/>
      <c r="H434" s="6" t="e">
        <f>G434-#REF!</f>
        <v>#REF!</v>
      </c>
      <c r="I434" s="82" t="e">
        <f t="shared" si="22"/>
        <v>#REF!</v>
      </c>
      <c r="J434" s="185"/>
    </row>
    <row r="435" spans="1:10" ht="34.5" hidden="1" customHeight="1" x14ac:dyDescent="0.25">
      <c r="A435" s="109"/>
      <c r="B435" s="125">
        <v>3116030</v>
      </c>
      <c r="C435" s="125">
        <v>3132</v>
      </c>
      <c r="D435" s="186" t="s">
        <v>151</v>
      </c>
      <c r="E435" s="69">
        <f>SUM(E436:E436)</f>
        <v>0</v>
      </c>
      <c r="F435" s="45">
        <f>SUM(F436:F436)</f>
        <v>0</v>
      </c>
      <c r="G435" s="45">
        <f>SUM(G436:G436)</f>
        <v>0</v>
      </c>
      <c r="H435" s="45" t="e">
        <f>SUM(H436:H436)</f>
        <v>#REF!</v>
      </c>
      <c r="I435" s="82" t="e">
        <f t="shared" si="22"/>
        <v>#REF!</v>
      </c>
      <c r="J435" s="185"/>
    </row>
    <row r="436" spans="1:10" ht="37.5" hidden="1" customHeight="1" x14ac:dyDescent="0.25">
      <c r="A436" s="109"/>
      <c r="B436" s="125"/>
      <c r="C436" s="127"/>
      <c r="D436" s="54"/>
      <c r="E436" s="7"/>
      <c r="F436" s="6"/>
      <c r="G436" s="74"/>
      <c r="H436" s="6" t="e">
        <f>G436-#REF!</f>
        <v>#REF!</v>
      </c>
      <c r="I436" s="82" t="e">
        <f t="shared" si="22"/>
        <v>#REF!</v>
      </c>
      <c r="J436" s="185"/>
    </row>
    <row r="437" spans="1:10" ht="21.75" hidden="1" customHeight="1" x14ac:dyDescent="0.3">
      <c r="A437" s="109"/>
      <c r="B437" s="125"/>
      <c r="C437" s="127"/>
      <c r="D437" s="321"/>
      <c r="E437" s="7"/>
      <c r="F437" s="6"/>
      <c r="G437" s="74"/>
      <c r="H437" s="6"/>
      <c r="I437" s="82" t="e">
        <f t="shared" si="22"/>
        <v>#DIV/0!</v>
      </c>
      <c r="J437" s="185"/>
    </row>
    <row r="438" spans="1:10" ht="23.25" customHeight="1" x14ac:dyDescent="0.25">
      <c r="A438" s="109"/>
      <c r="B438" s="125">
        <v>3116030</v>
      </c>
      <c r="C438" s="125">
        <v>3132</v>
      </c>
      <c r="D438" s="186" t="s">
        <v>92</v>
      </c>
      <c r="E438" s="19">
        <f>SUM(E439:E446)</f>
        <v>7475000</v>
      </c>
      <c r="F438" s="19">
        <f>SUM(F439:F446)</f>
        <v>8425000</v>
      </c>
      <c r="G438" s="126">
        <f>SUM(G439:G446)</f>
        <v>1059311</v>
      </c>
      <c r="H438" s="126">
        <f>SUM(H439:H446)</f>
        <v>939310.76</v>
      </c>
      <c r="I438" s="24">
        <f t="shared" si="22"/>
        <v>88.67185935008699</v>
      </c>
      <c r="J438" s="185"/>
    </row>
    <row r="439" spans="1:10" ht="37.5" customHeight="1" x14ac:dyDescent="0.25">
      <c r="A439" s="176"/>
      <c r="B439" s="125"/>
      <c r="C439" s="127"/>
      <c r="D439" s="54" t="s">
        <v>170</v>
      </c>
      <c r="E439" s="7">
        <v>1245800</v>
      </c>
      <c r="F439" s="7">
        <v>1245800</v>
      </c>
      <c r="G439" s="74">
        <f>20000</f>
        <v>20000</v>
      </c>
      <c r="H439" s="6"/>
      <c r="I439" s="82">
        <f t="shared" si="22"/>
        <v>0</v>
      </c>
      <c r="J439" s="6"/>
    </row>
    <row r="440" spans="1:10" ht="37.5" customHeight="1" x14ac:dyDescent="0.25">
      <c r="A440" s="176"/>
      <c r="B440" s="125"/>
      <c r="C440" s="127"/>
      <c r="D440" s="54" t="s">
        <v>171</v>
      </c>
      <c r="E440" s="7">
        <v>1245800</v>
      </c>
      <c r="F440" s="7">
        <v>1245800</v>
      </c>
      <c r="G440" s="74">
        <f>20000</f>
        <v>20000</v>
      </c>
      <c r="H440" s="6"/>
      <c r="I440" s="82">
        <f t="shared" si="22"/>
        <v>0</v>
      </c>
      <c r="J440" s="6"/>
    </row>
    <row r="441" spans="1:10" ht="37.5" customHeight="1" x14ac:dyDescent="0.25">
      <c r="A441" s="176"/>
      <c r="B441" s="125"/>
      <c r="C441" s="127"/>
      <c r="D441" s="54" t="s">
        <v>172</v>
      </c>
      <c r="E441" s="7">
        <v>1245800</v>
      </c>
      <c r="F441" s="7">
        <v>1245800</v>
      </c>
      <c r="G441" s="74">
        <f>20000+1225800-1200000-25800</f>
        <v>20000</v>
      </c>
      <c r="H441" s="6"/>
      <c r="I441" s="82">
        <f t="shared" si="22"/>
        <v>0</v>
      </c>
      <c r="J441" s="6"/>
    </row>
    <row r="442" spans="1:10" ht="37.5" customHeight="1" x14ac:dyDescent="0.25">
      <c r="A442" s="176"/>
      <c r="B442" s="125"/>
      <c r="C442" s="127"/>
      <c r="D442" s="54" t="s">
        <v>173</v>
      </c>
      <c r="E442" s="7">
        <v>1245800</v>
      </c>
      <c r="F442" s="7">
        <v>1245800</v>
      </c>
      <c r="G442" s="74">
        <f>20000+1225800-1225800</f>
        <v>20000</v>
      </c>
      <c r="H442" s="6"/>
      <c r="I442" s="82">
        <f t="shared" si="22"/>
        <v>0</v>
      </c>
      <c r="J442" s="6"/>
    </row>
    <row r="443" spans="1:10" ht="37.5" customHeight="1" x14ac:dyDescent="0.25">
      <c r="A443" s="176"/>
      <c r="B443" s="125"/>
      <c r="C443" s="127"/>
      <c r="D443" s="54" t="s">
        <v>174</v>
      </c>
      <c r="E443" s="7">
        <v>1245800</v>
      </c>
      <c r="F443" s="7">
        <v>1245800</v>
      </c>
      <c r="G443" s="74">
        <f>20000+1225800-1200000-25800</f>
        <v>20000</v>
      </c>
      <c r="H443" s="6"/>
      <c r="I443" s="82">
        <f t="shared" si="22"/>
        <v>0</v>
      </c>
      <c r="J443" s="6"/>
    </row>
    <row r="444" spans="1:10" ht="37.5" customHeight="1" x14ac:dyDescent="0.25">
      <c r="A444" s="176"/>
      <c r="B444" s="125"/>
      <c r="C444" s="127"/>
      <c r="D444" s="54" t="s">
        <v>175</v>
      </c>
      <c r="E444" s="7">
        <v>1246000</v>
      </c>
      <c r="F444" s="7">
        <v>1246000</v>
      </c>
      <c r="G444" s="74">
        <f>20000+1226000-1226000</f>
        <v>20000</v>
      </c>
      <c r="H444" s="6"/>
      <c r="I444" s="82">
        <f t="shared" si="22"/>
        <v>0</v>
      </c>
      <c r="J444" s="6"/>
    </row>
    <row r="445" spans="1:10" ht="37.5" customHeight="1" x14ac:dyDescent="0.25">
      <c r="A445" s="176"/>
      <c r="B445" s="125"/>
      <c r="C445" s="127"/>
      <c r="D445" s="191" t="s">
        <v>209</v>
      </c>
      <c r="E445" s="7"/>
      <c r="F445" s="7">
        <f>950000</f>
        <v>950000</v>
      </c>
      <c r="G445" s="74">
        <f>950000-10689</f>
        <v>939311</v>
      </c>
      <c r="H445" s="5">
        <f>950000-7494.74-3194.5</f>
        <v>939310.76</v>
      </c>
      <c r="I445" s="82">
        <f t="shared" si="22"/>
        <v>99.999974449357026</v>
      </c>
      <c r="J445" s="6"/>
    </row>
    <row r="446" spans="1:10" ht="16.5" customHeight="1" x14ac:dyDescent="0.25">
      <c r="A446" s="176"/>
      <c r="B446" s="125"/>
      <c r="C446" s="127"/>
      <c r="D446" s="54"/>
      <c r="E446" s="7"/>
      <c r="F446" s="6"/>
      <c r="G446" s="74"/>
      <c r="H446" s="6"/>
      <c r="I446" s="82"/>
      <c r="J446" s="6"/>
    </row>
    <row r="447" spans="1:10" ht="39" hidden="1" x14ac:dyDescent="0.25">
      <c r="A447" s="176"/>
      <c r="B447" s="125">
        <v>3116030</v>
      </c>
      <c r="C447" s="125">
        <v>3132</v>
      </c>
      <c r="D447" s="192" t="s">
        <v>93</v>
      </c>
      <c r="E447" s="69">
        <f>SUM(E448:E452)</f>
        <v>0</v>
      </c>
      <c r="F447" s="45">
        <f>SUM(F448:F452)</f>
        <v>0</v>
      </c>
      <c r="G447" s="45">
        <f>SUM(G448:G452)</f>
        <v>0</v>
      </c>
      <c r="H447" s="45" t="e">
        <f>SUM(H448:H452)</f>
        <v>#REF!</v>
      </c>
      <c r="I447" s="82" t="e">
        <f t="shared" ref="I447:I459" si="23">H447/G447*100</f>
        <v>#REF!</v>
      </c>
      <c r="J447" s="69"/>
    </row>
    <row r="448" spans="1:10" hidden="1" x14ac:dyDescent="0.25">
      <c r="A448" s="176"/>
      <c r="B448" s="125"/>
      <c r="C448" s="127"/>
      <c r="D448" s="63"/>
      <c r="E448" s="74"/>
      <c r="F448" s="74"/>
      <c r="G448" s="74"/>
      <c r="H448" s="6" t="e">
        <f>G448-#REF!</f>
        <v>#REF!</v>
      </c>
      <c r="I448" s="82" t="e">
        <f t="shared" si="23"/>
        <v>#REF!</v>
      </c>
      <c r="J448" s="5"/>
    </row>
    <row r="449" spans="1:10" ht="18" hidden="1" customHeight="1" x14ac:dyDescent="0.25">
      <c r="A449" s="176"/>
      <c r="B449" s="125"/>
      <c r="C449" s="127"/>
      <c r="D449" s="54"/>
      <c r="E449" s="74"/>
      <c r="F449" s="74"/>
      <c r="G449" s="74"/>
      <c r="H449" s="6" t="e">
        <f>G449-#REF!</f>
        <v>#REF!</v>
      </c>
      <c r="I449" s="82" t="e">
        <f t="shared" si="23"/>
        <v>#REF!</v>
      </c>
      <c r="J449" s="5"/>
    </row>
    <row r="450" spans="1:10" ht="18.75" hidden="1" customHeight="1" x14ac:dyDescent="0.25">
      <c r="A450" s="176"/>
      <c r="B450" s="125"/>
      <c r="C450" s="127"/>
      <c r="D450" s="54"/>
      <c r="E450" s="74"/>
      <c r="F450" s="74"/>
      <c r="G450" s="74"/>
      <c r="H450" s="6" t="e">
        <f>G450-#REF!</f>
        <v>#REF!</v>
      </c>
      <c r="I450" s="82" t="e">
        <f t="shared" si="23"/>
        <v>#REF!</v>
      </c>
      <c r="J450" s="5"/>
    </row>
    <row r="451" spans="1:10" ht="18.75" hidden="1" customHeight="1" x14ac:dyDescent="0.25">
      <c r="A451" s="176"/>
      <c r="B451" s="125"/>
      <c r="C451" s="127"/>
      <c r="D451" s="54"/>
      <c r="E451" s="74"/>
      <c r="F451" s="74"/>
      <c r="G451" s="74"/>
      <c r="H451" s="6" t="e">
        <f>G451-#REF!</f>
        <v>#REF!</v>
      </c>
      <c r="I451" s="82" t="e">
        <f t="shared" si="23"/>
        <v>#REF!</v>
      </c>
      <c r="J451" s="5"/>
    </row>
    <row r="452" spans="1:10" ht="15.75" hidden="1" customHeight="1" x14ac:dyDescent="0.25">
      <c r="A452" s="176"/>
      <c r="B452" s="125"/>
      <c r="C452" s="127"/>
      <c r="D452" s="130"/>
      <c r="E452" s="7"/>
      <c r="F452" s="193"/>
      <c r="G452" s="74"/>
      <c r="H452" s="6"/>
      <c r="I452" s="82" t="e">
        <f t="shared" si="23"/>
        <v>#DIV/0!</v>
      </c>
      <c r="J452" s="5"/>
    </row>
    <row r="453" spans="1:10" ht="24" customHeight="1" x14ac:dyDescent="0.25">
      <c r="A453" s="176"/>
      <c r="B453" s="125">
        <v>3116030</v>
      </c>
      <c r="C453" s="125">
        <v>3132</v>
      </c>
      <c r="D453" s="192" t="s">
        <v>94</v>
      </c>
      <c r="E453" s="19">
        <f>SUM(E454:E460)</f>
        <v>1000000</v>
      </c>
      <c r="F453" s="126">
        <f>SUM(F454:F459)</f>
        <v>1000000</v>
      </c>
      <c r="G453" s="126">
        <f>SUM(G454:G459)</f>
        <v>80000</v>
      </c>
      <c r="H453" s="126">
        <f>SUM(H454:H457)</f>
        <v>0</v>
      </c>
      <c r="I453" s="24">
        <f t="shared" si="23"/>
        <v>0</v>
      </c>
      <c r="J453" s="126"/>
    </row>
    <row r="454" spans="1:10" ht="36" customHeight="1" x14ac:dyDescent="0.25">
      <c r="A454" s="109"/>
      <c r="B454" s="125"/>
      <c r="C454" s="127"/>
      <c r="D454" s="54" t="s">
        <v>176</v>
      </c>
      <c r="E454" s="7">
        <v>250000</v>
      </c>
      <c r="F454" s="7">
        <v>250000</v>
      </c>
      <c r="G454" s="74">
        <f>20000</f>
        <v>20000</v>
      </c>
      <c r="H454" s="5"/>
      <c r="I454" s="82">
        <f t="shared" si="23"/>
        <v>0</v>
      </c>
      <c r="J454" s="5"/>
    </row>
    <row r="455" spans="1:10" ht="36" customHeight="1" x14ac:dyDescent="0.25">
      <c r="A455" s="109"/>
      <c r="B455" s="125"/>
      <c r="C455" s="127"/>
      <c r="D455" s="54" t="s">
        <v>177</v>
      </c>
      <c r="E455" s="7">
        <v>250000</v>
      </c>
      <c r="F455" s="7">
        <v>250000</v>
      </c>
      <c r="G455" s="74">
        <f>20000</f>
        <v>20000</v>
      </c>
      <c r="H455" s="5"/>
      <c r="I455" s="82">
        <f t="shared" si="23"/>
        <v>0</v>
      </c>
      <c r="J455" s="5"/>
    </row>
    <row r="456" spans="1:10" ht="36" customHeight="1" x14ac:dyDescent="0.25">
      <c r="A456" s="109"/>
      <c r="B456" s="125"/>
      <c r="C456" s="127"/>
      <c r="D456" s="54" t="s">
        <v>178</v>
      </c>
      <c r="E456" s="7">
        <v>250000</v>
      </c>
      <c r="F456" s="7">
        <v>250000</v>
      </c>
      <c r="G456" s="74">
        <f>20000</f>
        <v>20000</v>
      </c>
      <c r="H456" s="5"/>
      <c r="I456" s="82">
        <f t="shared" si="23"/>
        <v>0</v>
      </c>
      <c r="J456" s="5"/>
    </row>
    <row r="457" spans="1:10" ht="36" customHeight="1" x14ac:dyDescent="0.25">
      <c r="A457" s="109"/>
      <c r="B457" s="125"/>
      <c r="C457" s="127"/>
      <c r="D457" s="54" t="s">
        <v>179</v>
      </c>
      <c r="E457" s="7">
        <v>250000</v>
      </c>
      <c r="F457" s="7">
        <v>250000</v>
      </c>
      <c r="G457" s="74">
        <f>20000</f>
        <v>20000</v>
      </c>
      <c r="H457" s="5"/>
      <c r="I457" s="82">
        <f t="shared" si="23"/>
        <v>0</v>
      </c>
      <c r="J457" s="5"/>
    </row>
    <row r="458" spans="1:10" ht="30.75" hidden="1" customHeight="1" x14ac:dyDescent="0.25">
      <c r="A458" s="109"/>
      <c r="B458" s="125"/>
      <c r="C458" s="127"/>
      <c r="D458" s="240"/>
      <c r="E458" s="74"/>
      <c r="F458" s="74"/>
      <c r="G458" s="74"/>
      <c r="H458" s="5"/>
      <c r="I458" s="82" t="e">
        <f t="shared" si="23"/>
        <v>#DIV/0!</v>
      </c>
      <c r="J458" s="5"/>
    </row>
    <row r="459" spans="1:10" hidden="1" x14ac:dyDescent="0.25">
      <c r="A459" s="109"/>
      <c r="B459" s="125"/>
      <c r="C459" s="127"/>
      <c r="D459" s="210"/>
      <c r="E459" s="74"/>
      <c r="F459" s="74"/>
      <c r="G459" s="74"/>
      <c r="H459" s="5" t="e">
        <f>G459-#REF!</f>
        <v>#REF!</v>
      </c>
      <c r="I459" s="82" t="e">
        <f t="shared" si="23"/>
        <v>#REF!</v>
      </c>
      <c r="J459" s="5"/>
    </row>
    <row r="460" spans="1:10" ht="16.5" customHeight="1" x14ac:dyDescent="0.25">
      <c r="A460" s="109"/>
      <c r="B460" s="125"/>
      <c r="C460" s="127"/>
      <c r="D460" s="240"/>
      <c r="E460" s="194"/>
      <c r="F460" s="6"/>
      <c r="G460" s="74"/>
      <c r="H460" s="5"/>
      <c r="I460" s="82"/>
      <c r="J460" s="5"/>
    </row>
    <row r="461" spans="1:10" ht="21.75" customHeight="1" x14ac:dyDescent="0.25">
      <c r="A461" s="109"/>
      <c r="B461" s="125"/>
      <c r="C461" s="127"/>
      <c r="D461" s="186" t="s">
        <v>95</v>
      </c>
      <c r="E461" s="126">
        <f>SUM(E462:E463)</f>
        <v>0</v>
      </c>
      <c r="F461" s="126">
        <f>SUM(F462:F466)</f>
        <v>5080238</v>
      </c>
      <c r="G461" s="126">
        <f>SUM(G462:G466)</f>
        <v>1747346</v>
      </c>
      <c r="H461" s="126">
        <f>SUM(H462:H466)</f>
        <v>1363173.58</v>
      </c>
      <c r="I461" s="24">
        <f>H461/G461*100</f>
        <v>78.013946865703758</v>
      </c>
      <c r="J461" s="5"/>
    </row>
    <row r="462" spans="1:10" ht="37.5" x14ac:dyDescent="0.25">
      <c r="A462" s="109"/>
      <c r="B462" s="125"/>
      <c r="C462" s="127"/>
      <c r="D462" s="93" t="s">
        <v>210</v>
      </c>
      <c r="E462" s="74"/>
      <c r="F462" s="184">
        <f>1696066</f>
        <v>1696066</v>
      </c>
      <c r="G462" s="74">
        <f>244127+1451939-244127-1451939</f>
        <v>0</v>
      </c>
      <c r="H462" s="5"/>
      <c r="I462" s="82"/>
      <c r="J462" s="5"/>
    </row>
    <row r="463" spans="1:10" ht="37.5" customHeight="1" x14ac:dyDescent="0.25">
      <c r="A463" s="109"/>
      <c r="B463" s="125"/>
      <c r="C463" s="127"/>
      <c r="D463" s="55" t="s">
        <v>211</v>
      </c>
      <c r="E463" s="74"/>
      <c r="F463" s="184">
        <f>384172</f>
        <v>384172</v>
      </c>
      <c r="G463" s="74">
        <f>384172</f>
        <v>384172</v>
      </c>
      <c r="H463" s="5"/>
      <c r="I463" s="82">
        <f>H463/G463*100</f>
        <v>0</v>
      </c>
      <c r="J463" s="5"/>
    </row>
    <row r="464" spans="1:10" ht="37.5" customHeight="1" x14ac:dyDescent="0.25">
      <c r="A464" s="109"/>
      <c r="B464" s="125"/>
      <c r="C464" s="127"/>
      <c r="D464" s="191" t="s">
        <v>245</v>
      </c>
      <c r="E464" s="74"/>
      <c r="F464" s="184">
        <f>1500000</f>
        <v>1500000</v>
      </c>
      <c r="G464" s="74">
        <f>10689+1010+1351475</f>
        <v>1363174</v>
      </c>
      <c r="H464" s="6">
        <f>7494.74+4204.21+995933.68+14732+340808.95</f>
        <v>1363173.58</v>
      </c>
      <c r="I464" s="82">
        <f>H464/G464*100</f>
        <v>99.999969189553212</v>
      </c>
      <c r="J464" s="5"/>
    </row>
    <row r="465" spans="1:10" ht="37.5" customHeight="1" x14ac:dyDescent="0.25">
      <c r="A465" s="109"/>
      <c r="B465" s="125"/>
      <c r="C465" s="127"/>
      <c r="D465" s="54" t="s">
        <v>246</v>
      </c>
      <c r="E465" s="74"/>
      <c r="F465" s="184">
        <f>500000</f>
        <v>500000</v>
      </c>
      <c r="G465" s="74">
        <f>500000-500000</f>
        <v>0</v>
      </c>
      <c r="H465" s="5"/>
      <c r="I465" s="82"/>
      <c r="J465" s="5"/>
    </row>
    <row r="466" spans="1:10" ht="37.5" customHeight="1" x14ac:dyDescent="0.25">
      <c r="A466" s="109"/>
      <c r="B466" s="125"/>
      <c r="C466" s="127"/>
      <c r="D466" s="54" t="s">
        <v>247</v>
      </c>
      <c r="E466" s="74"/>
      <c r="F466" s="184">
        <f>1000000</f>
        <v>1000000</v>
      </c>
      <c r="G466" s="74">
        <f>1000000-1000000</f>
        <v>0</v>
      </c>
      <c r="H466" s="5"/>
      <c r="I466" s="82"/>
      <c r="J466" s="5"/>
    </row>
    <row r="467" spans="1:10" ht="18.75" customHeight="1" x14ac:dyDescent="0.25">
      <c r="A467" s="109"/>
      <c r="B467" s="125"/>
      <c r="C467" s="127"/>
      <c r="D467" s="240"/>
      <c r="E467" s="74"/>
      <c r="F467" s="184"/>
      <c r="G467" s="74"/>
      <c r="H467" s="5"/>
      <c r="I467" s="82"/>
      <c r="J467" s="5"/>
    </row>
    <row r="468" spans="1:10" ht="35.25" customHeight="1" x14ac:dyDescent="0.25">
      <c r="A468" s="109"/>
      <c r="B468" s="125">
        <v>3116030</v>
      </c>
      <c r="C468" s="125">
        <v>3132</v>
      </c>
      <c r="D468" s="192" t="s">
        <v>93</v>
      </c>
      <c r="E468" s="69">
        <f>SUM(E469:E473)</f>
        <v>0</v>
      </c>
      <c r="F468" s="45">
        <f>SUM(F469:F473)</f>
        <v>333000</v>
      </c>
      <c r="G468" s="45">
        <f>SUM(G469:G473)</f>
        <v>333000</v>
      </c>
      <c r="H468" s="45">
        <f>SUM(H469)</f>
        <v>332999.98</v>
      </c>
      <c r="I468" s="82">
        <f t="shared" ref="I468:I474" si="24">H468/G468*100</f>
        <v>99.999993993993982</v>
      </c>
      <c r="J468" s="69"/>
    </row>
    <row r="469" spans="1:10" ht="36.75" customHeight="1" x14ac:dyDescent="0.25">
      <c r="A469" s="109"/>
      <c r="B469" s="125"/>
      <c r="C469" s="127"/>
      <c r="D469" s="93" t="s">
        <v>212</v>
      </c>
      <c r="E469" s="74"/>
      <c r="F469" s="74">
        <f>333000</f>
        <v>333000</v>
      </c>
      <c r="G469" s="74">
        <f>333000</f>
        <v>333000</v>
      </c>
      <c r="H469" s="5">
        <f>309134.8+23865.18</f>
        <v>332999.98</v>
      </c>
      <c r="I469" s="82">
        <f t="shared" si="24"/>
        <v>99.999993993993982</v>
      </c>
      <c r="J469" s="5"/>
    </row>
    <row r="470" spans="1:10" ht="35.25" hidden="1" customHeight="1" x14ac:dyDescent="0.25">
      <c r="A470" s="109"/>
      <c r="B470" s="125"/>
      <c r="C470" s="127"/>
      <c r="D470" s="54"/>
      <c r="E470" s="74"/>
      <c r="F470" s="74"/>
      <c r="G470" s="74"/>
      <c r="H470" s="6" t="e">
        <f>G470-#REF!</f>
        <v>#REF!</v>
      </c>
      <c r="I470" s="82" t="e">
        <f t="shared" si="24"/>
        <v>#REF!</v>
      </c>
      <c r="J470" s="5"/>
    </row>
    <row r="471" spans="1:10" ht="35.25" hidden="1" customHeight="1" x14ac:dyDescent="0.25">
      <c r="A471" s="109"/>
      <c r="B471" s="125"/>
      <c r="C471" s="127"/>
      <c r="D471" s="54"/>
      <c r="E471" s="74"/>
      <c r="F471" s="74"/>
      <c r="G471" s="74"/>
      <c r="H471" s="6" t="e">
        <f>G471-#REF!</f>
        <v>#REF!</v>
      </c>
      <c r="I471" s="82" t="e">
        <f t="shared" si="24"/>
        <v>#REF!</v>
      </c>
      <c r="J471" s="5"/>
    </row>
    <row r="472" spans="1:10" hidden="1" x14ac:dyDescent="0.25">
      <c r="A472" s="109"/>
      <c r="B472" s="125"/>
      <c r="C472" s="127"/>
      <c r="D472" s="54"/>
      <c r="E472" s="74"/>
      <c r="F472" s="74"/>
      <c r="G472" s="74"/>
      <c r="H472" s="6" t="e">
        <f>G472-#REF!</f>
        <v>#REF!</v>
      </c>
      <c r="I472" s="82" t="e">
        <f t="shared" si="24"/>
        <v>#REF!</v>
      </c>
      <c r="J472" s="5"/>
    </row>
    <row r="473" spans="1:10" hidden="1" x14ac:dyDescent="0.25">
      <c r="A473" s="109"/>
      <c r="B473" s="125"/>
      <c r="C473" s="127"/>
      <c r="D473" s="240"/>
      <c r="E473" s="74"/>
      <c r="F473" s="184"/>
      <c r="G473" s="74"/>
      <c r="H473" s="5" t="e">
        <f>G473-#REF!</f>
        <v>#REF!</v>
      </c>
      <c r="I473" s="82" t="e">
        <f t="shared" si="24"/>
        <v>#REF!</v>
      </c>
      <c r="J473" s="5"/>
    </row>
    <row r="474" spans="1:10" ht="24" hidden="1" customHeight="1" x14ac:dyDescent="0.25">
      <c r="A474" s="109"/>
      <c r="B474" s="125"/>
      <c r="C474" s="127"/>
      <c r="D474" s="54"/>
      <c r="E474" s="74"/>
      <c r="F474" s="184"/>
      <c r="G474" s="74"/>
      <c r="H474" s="5" t="e">
        <f>G474-#REF!</f>
        <v>#REF!</v>
      </c>
      <c r="I474" s="82" t="e">
        <f t="shared" si="24"/>
        <v>#REF!</v>
      </c>
      <c r="J474" s="5"/>
    </row>
    <row r="475" spans="1:10" ht="16.5" customHeight="1" x14ac:dyDescent="0.25">
      <c r="A475" s="109"/>
      <c r="B475" s="125"/>
      <c r="C475" s="127"/>
      <c r="D475" s="210"/>
      <c r="E475" s="74"/>
      <c r="F475" s="74"/>
      <c r="G475" s="74"/>
      <c r="H475" s="5"/>
      <c r="I475" s="82"/>
      <c r="J475" s="5"/>
    </row>
    <row r="476" spans="1:10" ht="16.5" customHeight="1" x14ac:dyDescent="0.25">
      <c r="A476" s="195"/>
      <c r="B476" s="125">
        <v>3116030</v>
      </c>
      <c r="C476" s="125">
        <v>3210</v>
      </c>
      <c r="D476" s="210"/>
      <c r="E476" s="74"/>
      <c r="F476" s="74"/>
      <c r="G476" s="74"/>
      <c r="H476" s="5"/>
      <c r="I476" s="82"/>
      <c r="J476" s="5"/>
    </row>
    <row r="477" spans="1:10" ht="16.5" customHeight="1" x14ac:dyDescent="0.3">
      <c r="A477" s="51"/>
      <c r="B477" s="125"/>
      <c r="C477" s="125"/>
      <c r="D477" s="68" t="s">
        <v>22</v>
      </c>
      <c r="E477" s="13">
        <f>SUM(E478)</f>
        <v>1500000</v>
      </c>
      <c r="F477" s="13">
        <f>SUM(F478)</f>
        <v>1500000</v>
      </c>
      <c r="G477" s="13">
        <f>SUM(G478)</f>
        <v>0</v>
      </c>
      <c r="H477" s="13">
        <f>SUM(H478)</f>
        <v>0</v>
      </c>
      <c r="I477" s="82"/>
      <c r="J477" s="13"/>
    </row>
    <row r="478" spans="1:10" ht="39" customHeight="1" x14ac:dyDescent="0.25">
      <c r="A478" s="195"/>
      <c r="B478" s="125"/>
      <c r="C478" s="127"/>
      <c r="D478" s="93" t="s">
        <v>180</v>
      </c>
      <c r="E478" s="7">
        <v>1500000</v>
      </c>
      <c r="F478" s="7">
        <v>1500000</v>
      </c>
      <c r="G478" s="74">
        <f>500000+500000+500000-500000-500000-500000</f>
        <v>0</v>
      </c>
      <c r="H478" s="5"/>
      <c r="I478" s="82"/>
      <c r="J478" s="5"/>
    </row>
    <row r="479" spans="1:10" ht="16.5" customHeight="1" x14ac:dyDescent="0.25">
      <c r="A479" s="195"/>
      <c r="B479" s="125"/>
      <c r="C479" s="127"/>
      <c r="D479" s="210"/>
      <c r="E479" s="74"/>
      <c r="F479" s="74"/>
      <c r="G479" s="74"/>
      <c r="H479" s="5"/>
      <c r="I479" s="82"/>
      <c r="J479" s="5"/>
    </row>
    <row r="480" spans="1:10" ht="22.5" customHeight="1" x14ac:dyDescent="0.3">
      <c r="A480" s="51" t="s">
        <v>96</v>
      </c>
      <c r="B480" s="75">
        <v>7310</v>
      </c>
      <c r="C480" s="76"/>
      <c r="D480" s="77"/>
      <c r="E480" s="78">
        <f>E481+E500</f>
        <v>1158355</v>
      </c>
      <c r="F480" s="78">
        <f>F481</f>
        <v>1658355</v>
      </c>
      <c r="G480" s="78">
        <f>G481</f>
        <v>1658355</v>
      </c>
      <c r="H480" s="78">
        <f>H481</f>
        <v>194736</v>
      </c>
      <c r="I480" s="24">
        <f>H480/G480*100</f>
        <v>11.742720949374531</v>
      </c>
      <c r="J480" s="78"/>
    </row>
    <row r="481" spans="1:10" ht="22.5" customHeight="1" x14ac:dyDescent="0.3">
      <c r="A481" s="51"/>
      <c r="B481" s="78"/>
      <c r="C481" s="76"/>
      <c r="D481" s="68" t="s">
        <v>14</v>
      </c>
      <c r="E481" s="13">
        <f>SUM(E482:E484)</f>
        <v>1158355</v>
      </c>
      <c r="F481" s="13">
        <f>SUM(F482:F484)</f>
        <v>1658355</v>
      </c>
      <c r="G481" s="13">
        <f>SUM(G482:G484)</f>
        <v>1658355</v>
      </c>
      <c r="H481" s="13">
        <f>SUM(H482:H484)</f>
        <v>194736</v>
      </c>
      <c r="I481" s="24">
        <f>H481/G481*100</f>
        <v>11.742720949374531</v>
      </c>
      <c r="J481" s="13"/>
    </row>
    <row r="482" spans="1:10" ht="78.75" customHeight="1" x14ac:dyDescent="0.25">
      <c r="A482" s="196"/>
      <c r="B482" s="125"/>
      <c r="C482" s="127"/>
      <c r="D482" s="54" t="s">
        <v>181</v>
      </c>
      <c r="E482" s="156">
        <v>158355</v>
      </c>
      <c r="F482" s="156">
        <f>158355+841645+350000</f>
        <v>1350000</v>
      </c>
      <c r="G482" s="6">
        <f>399244+350000+600756</f>
        <v>1350000</v>
      </c>
      <c r="H482" s="6">
        <f>194736</f>
        <v>194736</v>
      </c>
      <c r="I482" s="82">
        <f>H482/G482*100</f>
        <v>14.424888888888891</v>
      </c>
      <c r="J482" s="6"/>
    </row>
    <row r="483" spans="1:10" ht="97.5" customHeight="1" x14ac:dyDescent="0.25">
      <c r="A483" s="196"/>
      <c r="B483" s="125"/>
      <c r="C483" s="127"/>
      <c r="D483" s="54" t="s">
        <v>182</v>
      </c>
      <c r="E483" s="156">
        <v>1000000</v>
      </c>
      <c r="F483" s="156">
        <f>1000000-1000000</f>
        <v>0</v>
      </c>
      <c r="G483" s="6"/>
      <c r="H483" s="6"/>
      <c r="I483" s="82"/>
      <c r="J483" s="6"/>
    </row>
    <row r="484" spans="1:10" ht="76.5" customHeight="1" x14ac:dyDescent="0.25">
      <c r="A484" s="196"/>
      <c r="B484" s="125"/>
      <c r="C484" s="127"/>
      <c r="D484" s="54" t="s">
        <v>213</v>
      </c>
      <c r="E484" s="156"/>
      <c r="F484" s="156">
        <f>308355</f>
        <v>308355</v>
      </c>
      <c r="G484" s="6">
        <f>308355</f>
        <v>308355</v>
      </c>
      <c r="H484" s="6"/>
      <c r="I484" s="82">
        <f>H484/G484*100</f>
        <v>0</v>
      </c>
      <c r="J484" s="6"/>
    </row>
    <row r="485" spans="1:10" ht="17.25" customHeight="1" x14ac:dyDescent="0.25">
      <c r="A485" s="196"/>
      <c r="B485" s="125"/>
      <c r="C485" s="127"/>
      <c r="D485" s="128"/>
      <c r="E485" s="7"/>
      <c r="F485" s="74"/>
      <c r="G485" s="6"/>
      <c r="H485" s="6"/>
      <c r="I485" s="82"/>
      <c r="J485" s="6"/>
    </row>
    <row r="486" spans="1:10" ht="22.5" hidden="1" customHeight="1" x14ac:dyDescent="0.3">
      <c r="A486" s="51" t="s">
        <v>97</v>
      </c>
      <c r="B486" s="75">
        <v>7321</v>
      </c>
      <c r="C486" s="76"/>
      <c r="D486" s="77"/>
      <c r="E486" s="78">
        <f>E487+E505</f>
        <v>0</v>
      </c>
      <c r="F486" s="78">
        <f>F487+F491</f>
        <v>0</v>
      </c>
      <c r="G486" s="78">
        <f>G487+G491</f>
        <v>0</v>
      </c>
      <c r="H486" s="78" t="e">
        <f>H487+H491</f>
        <v>#REF!</v>
      </c>
      <c r="I486" s="82" t="e">
        <f t="shared" ref="I486:I513" si="25">H486/G486*100</f>
        <v>#REF!</v>
      </c>
      <c r="J486" s="78"/>
    </row>
    <row r="487" spans="1:10" ht="22.5" hidden="1" customHeight="1" x14ac:dyDescent="0.3">
      <c r="A487" s="51"/>
      <c r="B487" s="78"/>
      <c r="C487" s="76"/>
      <c r="D487" s="68" t="s">
        <v>14</v>
      </c>
      <c r="E487" s="13"/>
      <c r="F487" s="13">
        <f>SUM(F488:F489)</f>
        <v>0</v>
      </c>
      <c r="G487" s="13">
        <f>SUM(G488:G489)</f>
        <v>0</v>
      </c>
      <c r="H487" s="13" t="e">
        <f>SUM(H488:H489)</f>
        <v>#REF!</v>
      </c>
      <c r="I487" s="82" t="e">
        <f t="shared" si="25"/>
        <v>#REF!</v>
      </c>
      <c r="J487" s="13"/>
    </row>
    <row r="488" spans="1:10" ht="20.25" hidden="1" customHeight="1" x14ac:dyDescent="0.3">
      <c r="A488" s="155"/>
      <c r="B488" s="125"/>
      <c r="C488" s="127"/>
      <c r="D488" s="1"/>
      <c r="E488" s="7"/>
      <c r="F488" s="74"/>
      <c r="G488" s="6"/>
      <c r="H488" s="6" t="e">
        <f>G488-#REF!</f>
        <v>#REF!</v>
      </c>
      <c r="I488" s="82" t="e">
        <f t="shared" si="25"/>
        <v>#REF!</v>
      </c>
      <c r="J488" s="6"/>
    </row>
    <row r="489" spans="1:10" ht="18.75" hidden="1" customHeight="1" x14ac:dyDescent="0.25">
      <c r="A489" s="155"/>
      <c r="B489" s="125"/>
      <c r="C489" s="127"/>
      <c r="D489" s="9"/>
      <c r="E489" s="7"/>
      <c r="F489" s="74"/>
      <c r="G489" s="6"/>
      <c r="H489" s="6" t="e">
        <f>G489-#REF!</f>
        <v>#REF!</v>
      </c>
      <c r="I489" s="82" t="e">
        <f t="shared" si="25"/>
        <v>#REF!</v>
      </c>
      <c r="J489" s="6"/>
    </row>
    <row r="490" spans="1:10" ht="22.5" hidden="1" customHeight="1" x14ac:dyDescent="0.3">
      <c r="A490" s="155"/>
      <c r="B490" s="125"/>
      <c r="C490" s="127"/>
      <c r="D490" s="1"/>
      <c r="E490" s="7"/>
      <c r="F490" s="74"/>
      <c r="G490" s="6"/>
      <c r="H490" s="6"/>
      <c r="I490" s="82" t="e">
        <f t="shared" si="25"/>
        <v>#DIV/0!</v>
      </c>
      <c r="J490" s="6"/>
    </row>
    <row r="491" spans="1:10" ht="22.5" hidden="1" customHeight="1" x14ac:dyDescent="0.3">
      <c r="A491" s="51"/>
      <c r="B491" s="78"/>
      <c r="C491" s="76"/>
      <c r="D491" s="68" t="s">
        <v>16</v>
      </c>
      <c r="E491" s="13">
        <f>SUM(E494:E536)</f>
        <v>43150000</v>
      </c>
      <c r="F491" s="13">
        <f>SUM(F492:F493)</f>
        <v>0</v>
      </c>
      <c r="G491" s="13">
        <f>SUM(G492:G493)</f>
        <v>0</v>
      </c>
      <c r="H491" s="13" t="e">
        <f>SUM(H492:H493)</f>
        <v>#REF!</v>
      </c>
      <c r="I491" s="82" t="e">
        <f t="shared" si="25"/>
        <v>#REF!</v>
      </c>
      <c r="J491" s="13"/>
    </row>
    <row r="492" spans="1:10" hidden="1" x14ac:dyDescent="0.25">
      <c r="A492" s="51"/>
      <c r="B492" s="78"/>
      <c r="C492" s="76"/>
      <c r="D492" s="9"/>
      <c r="E492" s="13"/>
      <c r="F492" s="74"/>
      <c r="G492" s="74"/>
      <c r="H492" s="6" t="e">
        <f>G492-#REF!</f>
        <v>#REF!</v>
      </c>
      <c r="I492" s="82" t="e">
        <f t="shared" si="25"/>
        <v>#REF!</v>
      </c>
      <c r="J492" s="6"/>
    </row>
    <row r="493" spans="1:10" ht="15.75" hidden="1" customHeight="1" x14ac:dyDescent="0.3">
      <c r="A493" s="51"/>
      <c r="B493" s="78"/>
      <c r="C493" s="76"/>
      <c r="D493" s="197"/>
      <c r="E493" s="13"/>
      <c r="F493" s="74"/>
      <c r="G493" s="74"/>
      <c r="H493" s="6" t="e">
        <f>G493-#REF!</f>
        <v>#REF!</v>
      </c>
      <c r="I493" s="82" t="e">
        <f t="shared" si="25"/>
        <v>#REF!</v>
      </c>
      <c r="J493" s="6"/>
    </row>
    <row r="494" spans="1:10" ht="24.75" hidden="1" customHeight="1" x14ac:dyDescent="0.3">
      <c r="A494" s="51" t="s">
        <v>98</v>
      </c>
      <c r="B494" s="75">
        <v>7322</v>
      </c>
      <c r="C494" s="76"/>
      <c r="D494" s="77"/>
      <c r="E494" s="78"/>
      <c r="F494" s="78">
        <f>F495+F499</f>
        <v>0</v>
      </c>
      <c r="G494" s="78">
        <f>G495+G499</f>
        <v>0</v>
      </c>
      <c r="H494" s="78" t="e">
        <f>H495+H499</f>
        <v>#REF!</v>
      </c>
      <c r="I494" s="82" t="e">
        <f t="shared" si="25"/>
        <v>#REF!</v>
      </c>
      <c r="J494" s="78"/>
    </row>
    <row r="495" spans="1:10" ht="22.5" hidden="1" customHeight="1" x14ac:dyDescent="0.3">
      <c r="A495" s="51"/>
      <c r="B495" s="78"/>
      <c r="C495" s="76"/>
      <c r="D495" s="68" t="s">
        <v>14</v>
      </c>
      <c r="E495" s="13"/>
      <c r="F495" s="13">
        <f>SUM(F496:F497)</f>
        <v>0</v>
      </c>
      <c r="G495" s="13">
        <f>SUM(G496:G497)</f>
        <v>0</v>
      </c>
      <c r="H495" s="13" t="e">
        <f>SUM(H496:H497)</f>
        <v>#REF!</v>
      </c>
      <c r="I495" s="82" t="e">
        <f t="shared" si="25"/>
        <v>#REF!</v>
      </c>
      <c r="J495" s="13"/>
    </row>
    <row r="496" spans="1:10" ht="24" hidden="1" customHeight="1" x14ac:dyDescent="0.25">
      <c r="A496" s="155"/>
      <c r="B496" s="125"/>
      <c r="C496" s="127"/>
      <c r="D496" s="9"/>
      <c r="E496" s="7"/>
      <c r="F496" s="74"/>
      <c r="G496" s="6"/>
      <c r="H496" s="6" t="e">
        <f>G496-#REF!</f>
        <v>#REF!</v>
      </c>
      <c r="I496" s="82" t="e">
        <f t="shared" si="25"/>
        <v>#REF!</v>
      </c>
      <c r="J496" s="6"/>
    </row>
    <row r="497" spans="1:10" ht="24" hidden="1" customHeight="1" x14ac:dyDescent="0.25">
      <c r="A497" s="155"/>
      <c r="B497" s="125"/>
      <c r="C497" s="127"/>
      <c r="D497" s="9"/>
      <c r="E497" s="7"/>
      <c r="F497" s="74"/>
      <c r="G497" s="6"/>
      <c r="H497" s="6" t="e">
        <f>G497-#REF!</f>
        <v>#REF!</v>
      </c>
      <c r="I497" s="82" t="e">
        <f t="shared" si="25"/>
        <v>#REF!</v>
      </c>
      <c r="J497" s="6"/>
    </row>
    <row r="498" spans="1:10" ht="22.5" hidden="1" customHeight="1" x14ac:dyDescent="0.25">
      <c r="A498" s="155"/>
      <c r="B498" s="125"/>
      <c r="C498" s="127"/>
      <c r="D498" s="128"/>
      <c r="E498" s="7"/>
      <c r="F498" s="74"/>
      <c r="G498" s="6"/>
      <c r="H498" s="6"/>
      <c r="I498" s="82" t="e">
        <f t="shared" si="25"/>
        <v>#DIV/0!</v>
      </c>
      <c r="J498" s="6"/>
    </row>
    <row r="499" spans="1:10" ht="22.5" hidden="1" customHeight="1" x14ac:dyDescent="0.3">
      <c r="A499" s="51"/>
      <c r="B499" s="78"/>
      <c r="C499" s="76"/>
      <c r="D499" s="68" t="s">
        <v>16</v>
      </c>
      <c r="E499" s="13"/>
      <c r="F499" s="13">
        <f>SUM(F500:F501)</f>
        <v>0</v>
      </c>
      <c r="G499" s="13">
        <f>SUM(G500:G501)</f>
        <v>0</v>
      </c>
      <c r="H499" s="13" t="e">
        <f>SUM(H500:H501)</f>
        <v>#REF!</v>
      </c>
      <c r="I499" s="82" t="e">
        <f t="shared" si="25"/>
        <v>#REF!</v>
      </c>
      <c r="J499" s="13"/>
    </row>
    <row r="500" spans="1:10" ht="48" hidden="1" customHeight="1" x14ac:dyDescent="0.25">
      <c r="A500" s="155"/>
      <c r="B500" s="125"/>
      <c r="C500" s="127"/>
      <c r="D500" s="88"/>
      <c r="E500" s="7"/>
      <c r="F500" s="74">
        <f>500000-500000</f>
        <v>0</v>
      </c>
      <c r="G500" s="6">
        <f>50000+450000-500000</f>
        <v>0</v>
      </c>
      <c r="H500" s="6" t="e">
        <f>G500-#REF!</f>
        <v>#REF!</v>
      </c>
      <c r="I500" s="82" t="e">
        <f t="shared" si="25"/>
        <v>#REF!</v>
      </c>
      <c r="J500" s="6"/>
    </row>
    <row r="501" spans="1:10" ht="22.5" hidden="1" customHeight="1" x14ac:dyDescent="0.25">
      <c r="A501" s="155"/>
      <c r="B501" s="125"/>
      <c r="C501" s="127"/>
      <c r="D501" s="128"/>
      <c r="E501" s="7"/>
      <c r="F501" s="74"/>
      <c r="G501" s="6"/>
      <c r="H501" s="6"/>
      <c r="I501" s="82" t="e">
        <f t="shared" si="25"/>
        <v>#DIV/0!</v>
      </c>
      <c r="J501" s="6"/>
    </row>
    <row r="502" spans="1:10" ht="33" hidden="1" customHeight="1" x14ac:dyDescent="0.25">
      <c r="A502" s="153" t="s">
        <v>99</v>
      </c>
      <c r="B502" s="143" t="s">
        <v>41</v>
      </c>
      <c r="C502" s="129"/>
      <c r="D502" s="130"/>
      <c r="E502" s="198">
        <f>E503</f>
        <v>0</v>
      </c>
      <c r="F502" s="198">
        <f>F503</f>
        <v>0</v>
      </c>
      <c r="G502" s="198">
        <f>G503</f>
        <v>0</v>
      </c>
      <c r="H502" s="78" t="e">
        <f>H503</f>
        <v>#REF!</v>
      </c>
      <c r="I502" s="82" t="e">
        <f t="shared" si="25"/>
        <v>#REF!</v>
      </c>
      <c r="J502" s="78"/>
    </row>
    <row r="503" spans="1:10" ht="27.75" hidden="1" customHeight="1" x14ac:dyDescent="0.3">
      <c r="A503" s="199"/>
      <c r="B503" s="154"/>
      <c r="C503" s="200"/>
      <c r="D503" s="201" t="s">
        <v>14</v>
      </c>
      <c r="E503" s="202">
        <f>SUM(E505)</f>
        <v>0</v>
      </c>
      <c r="F503" s="202">
        <f>SUM(F504:F505)</f>
        <v>0</v>
      </c>
      <c r="G503" s="202">
        <f>SUM(G504:G505)</f>
        <v>0</v>
      </c>
      <c r="H503" s="202" t="e">
        <f>SUM(H504:H505)</f>
        <v>#REF!</v>
      </c>
      <c r="I503" s="82" t="e">
        <f t="shared" si="25"/>
        <v>#REF!</v>
      </c>
      <c r="J503" s="202"/>
    </row>
    <row r="504" spans="1:10" hidden="1" x14ac:dyDescent="0.25">
      <c r="A504" s="100"/>
      <c r="B504" s="125"/>
      <c r="C504" s="129"/>
      <c r="D504" s="85"/>
      <c r="E504" s="203"/>
      <c r="F504" s="194"/>
      <c r="G504" s="194"/>
      <c r="H504" s="6" t="e">
        <f>G504-#REF!</f>
        <v>#REF!</v>
      </c>
      <c r="I504" s="82" t="e">
        <f t="shared" si="25"/>
        <v>#REF!</v>
      </c>
      <c r="J504" s="6"/>
    </row>
    <row r="505" spans="1:10" ht="19.5" hidden="1" customHeight="1" x14ac:dyDescent="0.25">
      <c r="A505" s="155"/>
      <c r="B505" s="125"/>
      <c r="C505" s="127"/>
      <c r="D505" s="85"/>
      <c r="E505" s="194"/>
      <c r="F505" s="194"/>
      <c r="G505" s="194"/>
      <c r="H505" s="6" t="e">
        <f>G505-#REF!</f>
        <v>#REF!</v>
      </c>
      <c r="I505" s="82" t="e">
        <f t="shared" si="25"/>
        <v>#REF!</v>
      </c>
      <c r="J505" s="6"/>
    </row>
    <row r="506" spans="1:10" ht="21.75" hidden="1" customHeight="1" x14ac:dyDescent="0.3">
      <c r="A506" s="51" t="s">
        <v>100</v>
      </c>
      <c r="B506" s="75">
        <v>7324</v>
      </c>
      <c r="C506" s="76"/>
      <c r="D506" s="77"/>
      <c r="E506" s="78"/>
      <c r="F506" s="78">
        <f>F507</f>
        <v>0</v>
      </c>
      <c r="G506" s="78">
        <f>G507</f>
        <v>0</v>
      </c>
      <c r="H506" s="78" t="e">
        <f>H507</f>
        <v>#REF!</v>
      </c>
      <c r="I506" s="82" t="e">
        <f t="shared" si="25"/>
        <v>#REF!</v>
      </c>
      <c r="J506" s="78"/>
    </row>
    <row r="507" spans="1:10" ht="21.75" hidden="1" customHeight="1" x14ac:dyDescent="0.3">
      <c r="A507" s="51"/>
      <c r="B507" s="78"/>
      <c r="C507" s="76"/>
      <c r="D507" s="68" t="s">
        <v>15</v>
      </c>
      <c r="E507" s="13"/>
      <c r="F507" s="13">
        <f>SUM(F508)</f>
        <v>0</v>
      </c>
      <c r="G507" s="13">
        <f>SUM(G508)</f>
        <v>0</v>
      </c>
      <c r="H507" s="13" t="e">
        <f>SUM(H508)</f>
        <v>#REF!</v>
      </c>
      <c r="I507" s="82" t="e">
        <f t="shared" si="25"/>
        <v>#REF!</v>
      </c>
      <c r="J507" s="13"/>
    </row>
    <row r="508" spans="1:10" ht="26.25" hidden="1" customHeight="1" x14ac:dyDescent="0.3">
      <c r="A508" s="155"/>
      <c r="B508" s="125"/>
      <c r="C508" s="127"/>
      <c r="D508" s="182"/>
      <c r="E508" s="204"/>
      <c r="F508" s="194"/>
      <c r="G508" s="48"/>
      <c r="H508" s="6" t="e">
        <f>G508-#REF!</f>
        <v>#REF!</v>
      </c>
      <c r="I508" s="82" t="e">
        <f t="shared" si="25"/>
        <v>#REF!</v>
      </c>
      <c r="J508" s="6"/>
    </row>
    <row r="509" spans="1:10" ht="24.75" hidden="1" customHeight="1" x14ac:dyDescent="0.25">
      <c r="A509" s="155"/>
      <c r="B509" s="125"/>
      <c r="C509" s="127"/>
      <c r="D509" s="128"/>
      <c r="E509" s="204"/>
      <c r="F509" s="194"/>
      <c r="G509" s="48"/>
      <c r="H509" s="6"/>
      <c r="I509" s="82" t="e">
        <f t="shared" si="25"/>
        <v>#DIV/0!</v>
      </c>
      <c r="J509" s="6"/>
    </row>
    <row r="510" spans="1:10" ht="21.75" customHeight="1" x14ac:dyDescent="0.3">
      <c r="A510" s="51" t="s">
        <v>101</v>
      </c>
      <c r="B510" s="75">
        <v>7325</v>
      </c>
      <c r="C510" s="76"/>
      <c r="D510" s="77"/>
      <c r="E510" s="78">
        <f>E511+E517</f>
        <v>450000</v>
      </c>
      <c r="F510" s="78">
        <f>F511+F517</f>
        <v>768684</v>
      </c>
      <c r="G510" s="78">
        <f>G511+G517</f>
        <v>768684</v>
      </c>
      <c r="H510" s="78">
        <f>H511+H517</f>
        <v>0</v>
      </c>
      <c r="I510" s="24">
        <f t="shared" si="25"/>
        <v>0</v>
      </c>
      <c r="J510" s="78"/>
    </row>
    <row r="511" spans="1:10" ht="24.75" customHeight="1" x14ac:dyDescent="0.3">
      <c r="A511" s="51"/>
      <c r="B511" s="78"/>
      <c r="C511" s="76"/>
      <c r="D511" s="68" t="s">
        <v>14</v>
      </c>
      <c r="E511" s="13">
        <f>SUM(E512:E515)</f>
        <v>0</v>
      </c>
      <c r="F511" s="13">
        <f>SUM(F512:F515)</f>
        <v>768684</v>
      </c>
      <c r="G511" s="13">
        <f>SUM(G512:G515)</f>
        <v>768684</v>
      </c>
      <c r="H511" s="13">
        <f>SUM(H512:H515)</f>
        <v>0</v>
      </c>
      <c r="I511" s="24">
        <f t="shared" si="25"/>
        <v>0</v>
      </c>
      <c r="J511" s="78"/>
    </row>
    <row r="512" spans="1:10" ht="56.25" customHeight="1" x14ac:dyDescent="0.25">
      <c r="A512" s="155"/>
      <c r="B512" s="125"/>
      <c r="C512" s="127"/>
      <c r="D512" s="93" t="s">
        <v>214</v>
      </c>
      <c r="E512" s="156"/>
      <c r="F512" s="156">
        <f>318684</f>
        <v>318684</v>
      </c>
      <c r="G512" s="6">
        <f>318684</f>
        <v>318684</v>
      </c>
      <c r="H512" s="6"/>
      <c r="I512" s="82">
        <f t="shared" si="25"/>
        <v>0</v>
      </c>
      <c r="J512" s="6"/>
    </row>
    <row r="513" spans="1:10" ht="55.5" customHeight="1" x14ac:dyDescent="0.25">
      <c r="A513" s="155"/>
      <c r="B513" s="125"/>
      <c r="C513" s="127"/>
      <c r="D513" s="93" t="s">
        <v>215</v>
      </c>
      <c r="E513" s="204"/>
      <c r="F513" s="74">
        <f>450000</f>
        <v>450000</v>
      </c>
      <c r="G513" s="6">
        <f>450000</f>
        <v>450000</v>
      </c>
      <c r="H513" s="6"/>
      <c r="I513" s="82">
        <f t="shared" si="25"/>
        <v>0</v>
      </c>
      <c r="J513" s="6"/>
    </row>
    <row r="514" spans="1:10" ht="35.25" customHeight="1" x14ac:dyDescent="0.25">
      <c r="A514" s="155"/>
      <c r="B514" s="125"/>
      <c r="C514" s="127"/>
      <c r="D514" s="93" t="s">
        <v>248</v>
      </c>
      <c r="E514" s="204"/>
      <c r="F514" s="74">
        <f>1500000-1500000</f>
        <v>0</v>
      </c>
      <c r="G514" s="48"/>
      <c r="H514" s="6"/>
      <c r="I514" s="82"/>
      <c r="J514" s="6"/>
    </row>
    <row r="515" spans="1:10" ht="35.25" customHeight="1" x14ac:dyDescent="0.25">
      <c r="A515" s="155"/>
      <c r="B515" s="125"/>
      <c r="C515" s="127"/>
      <c r="D515" s="93" t="s">
        <v>249</v>
      </c>
      <c r="E515" s="204"/>
      <c r="F515" s="74">
        <f>1500000-1500000</f>
        <v>0</v>
      </c>
      <c r="G515" s="48"/>
      <c r="H515" s="6"/>
      <c r="I515" s="82"/>
      <c r="J515" s="6"/>
    </row>
    <row r="516" spans="1:10" ht="18" customHeight="1" x14ac:dyDescent="0.25">
      <c r="A516" s="155"/>
      <c r="B516" s="125"/>
      <c r="C516" s="127"/>
      <c r="D516" s="130"/>
      <c r="E516" s="204"/>
      <c r="F516" s="194"/>
      <c r="G516" s="48"/>
      <c r="H516" s="6"/>
      <c r="I516" s="82"/>
      <c r="J516" s="6"/>
    </row>
    <row r="517" spans="1:10" ht="24.75" customHeight="1" x14ac:dyDescent="0.3">
      <c r="A517" s="51"/>
      <c r="B517" s="78"/>
      <c r="C517" s="76"/>
      <c r="D517" s="68" t="s">
        <v>16</v>
      </c>
      <c r="E517" s="13">
        <f>SUM(E518:E520)</f>
        <v>450000</v>
      </c>
      <c r="F517" s="13">
        <f>SUM(F518:F520)</f>
        <v>0</v>
      </c>
      <c r="G517" s="13">
        <f>SUM(G518:G520)</f>
        <v>0</v>
      </c>
      <c r="H517" s="13">
        <f>SUM(H518)</f>
        <v>0</v>
      </c>
      <c r="I517" s="24"/>
      <c r="J517" s="13"/>
    </row>
    <row r="518" spans="1:10" ht="54" customHeight="1" x14ac:dyDescent="0.25">
      <c r="A518" s="155"/>
      <c r="B518" s="125"/>
      <c r="C518" s="127"/>
      <c r="D518" s="54" t="s">
        <v>183</v>
      </c>
      <c r="E518" s="156">
        <v>450000</v>
      </c>
      <c r="F518" s="156">
        <f>450000-450000</f>
        <v>0</v>
      </c>
      <c r="G518" s="48"/>
      <c r="H518" s="6"/>
      <c r="I518" s="82"/>
      <c r="J518" s="6"/>
    </row>
    <row r="519" spans="1:10" ht="25.5" hidden="1" customHeight="1" x14ac:dyDescent="0.25">
      <c r="A519" s="155"/>
      <c r="B519" s="125"/>
      <c r="C519" s="127"/>
      <c r="D519" s="210"/>
      <c r="E519" s="204"/>
      <c r="F519" s="194"/>
      <c r="G519" s="48"/>
      <c r="H519" s="6" t="e">
        <f>G519-#REF!</f>
        <v>#REF!</v>
      </c>
      <c r="I519" s="82"/>
      <c r="J519" s="6"/>
    </row>
    <row r="520" spans="1:10" ht="25.5" hidden="1" customHeight="1" x14ac:dyDescent="0.25">
      <c r="A520" s="155"/>
      <c r="B520" s="125"/>
      <c r="C520" s="127"/>
      <c r="D520" s="210"/>
      <c r="E520" s="204"/>
      <c r="F520" s="194"/>
      <c r="G520" s="48"/>
      <c r="H520" s="6" t="e">
        <f>G520-#REF!</f>
        <v>#REF!</v>
      </c>
      <c r="I520" s="82"/>
      <c r="J520" s="6"/>
    </row>
    <row r="521" spans="1:10" ht="24.75" hidden="1" customHeight="1" x14ac:dyDescent="0.25">
      <c r="A521" s="155"/>
      <c r="B521" s="125"/>
      <c r="C521" s="127"/>
      <c r="D521" s="128"/>
      <c r="E521" s="204"/>
      <c r="F521" s="194"/>
      <c r="G521" s="48"/>
      <c r="H521" s="6"/>
      <c r="I521" s="82"/>
      <c r="J521" s="6"/>
    </row>
    <row r="522" spans="1:10" ht="24.75" hidden="1" customHeight="1" x14ac:dyDescent="0.25">
      <c r="A522" s="143" t="s">
        <v>102</v>
      </c>
      <c r="B522" s="125">
        <v>7330</v>
      </c>
      <c r="C522" s="95"/>
      <c r="D522" s="63"/>
      <c r="E522" s="205">
        <f>E523</f>
        <v>0</v>
      </c>
      <c r="F522" s="64">
        <f>F523+F526</f>
        <v>0</v>
      </c>
      <c r="G522" s="64">
        <f>G523+G526</f>
        <v>0</v>
      </c>
      <c r="H522" s="64" t="e">
        <f>H523+H526</f>
        <v>#REF!</v>
      </c>
      <c r="I522" s="82"/>
      <c r="J522" s="64"/>
    </row>
    <row r="523" spans="1:10" ht="24.75" hidden="1" customHeight="1" x14ac:dyDescent="0.3">
      <c r="A523" s="96"/>
      <c r="B523" s="97"/>
      <c r="C523" s="95"/>
      <c r="D523" s="68" t="s">
        <v>14</v>
      </c>
      <c r="E523" s="206">
        <f>SUM(E524)</f>
        <v>0</v>
      </c>
      <c r="F523" s="10">
        <f>SUM(F524)</f>
        <v>0</v>
      </c>
      <c r="G523" s="10">
        <f>SUM(G524)</f>
        <v>0</v>
      </c>
      <c r="H523" s="10" t="e">
        <f>SUM(H524)</f>
        <v>#REF!</v>
      </c>
      <c r="I523" s="82"/>
      <c r="J523" s="10"/>
    </row>
    <row r="524" spans="1:10" hidden="1" x14ac:dyDescent="0.25">
      <c r="A524" s="49"/>
      <c r="B524" s="52"/>
      <c r="C524" s="92"/>
      <c r="D524" s="88"/>
      <c r="E524" s="207"/>
      <c r="F524" s="5"/>
      <c r="G524" s="5"/>
      <c r="H524" s="6" t="e">
        <f>G524-#REF!</f>
        <v>#REF!</v>
      </c>
      <c r="I524" s="82"/>
      <c r="J524" s="6"/>
    </row>
    <row r="525" spans="1:10" ht="9.75" hidden="1" customHeight="1" x14ac:dyDescent="0.25">
      <c r="A525" s="49"/>
      <c r="B525" s="52"/>
      <c r="C525" s="92"/>
      <c r="D525" s="93"/>
      <c r="E525" s="207"/>
      <c r="F525" s="145"/>
      <c r="G525" s="145"/>
      <c r="H525" s="48"/>
      <c r="I525" s="82"/>
      <c r="J525" s="48"/>
    </row>
    <row r="526" spans="1:10" ht="33" hidden="1" customHeight="1" x14ac:dyDescent="0.3">
      <c r="A526" s="96"/>
      <c r="B526" s="97"/>
      <c r="C526" s="95"/>
      <c r="D526" s="68" t="s">
        <v>16</v>
      </c>
      <c r="E526" s="206">
        <f>SUM(E527)</f>
        <v>0</v>
      </c>
      <c r="F526" s="10">
        <f>SUM(F527:F530)</f>
        <v>0</v>
      </c>
      <c r="G526" s="10">
        <f>SUM(G527:G530)</f>
        <v>0</v>
      </c>
      <c r="H526" s="10" t="e">
        <f>SUM(H527:H530)</f>
        <v>#REF!</v>
      </c>
      <c r="I526" s="82"/>
      <c r="J526" s="10"/>
    </row>
    <row r="527" spans="1:10" ht="23.25" hidden="1" customHeight="1" x14ac:dyDescent="0.25">
      <c r="A527" s="49"/>
      <c r="B527" s="52"/>
      <c r="C527" s="92"/>
      <c r="D527" s="9"/>
      <c r="E527" s="207"/>
      <c r="F527" s="6"/>
      <c r="G527" s="5"/>
      <c r="H527" s="6" t="e">
        <f>G527-#REF!</f>
        <v>#REF!</v>
      </c>
      <c r="I527" s="82"/>
      <c r="J527" s="6"/>
    </row>
    <row r="528" spans="1:10" ht="23.25" hidden="1" customHeight="1" x14ac:dyDescent="0.25">
      <c r="A528" s="49"/>
      <c r="B528" s="52"/>
      <c r="C528" s="92"/>
      <c r="D528" s="9"/>
      <c r="E528" s="207"/>
      <c r="F528" s="6"/>
      <c r="G528" s="5"/>
      <c r="H528" s="6" t="e">
        <f>G528-#REF!</f>
        <v>#REF!</v>
      </c>
      <c r="I528" s="82"/>
      <c r="J528" s="6"/>
    </row>
    <row r="529" spans="1:10" ht="23.25" hidden="1" customHeight="1" x14ac:dyDescent="0.25">
      <c r="A529" s="49"/>
      <c r="B529" s="52"/>
      <c r="C529" s="92"/>
      <c r="D529" s="9"/>
      <c r="E529" s="207"/>
      <c r="F529" s="6"/>
      <c r="G529" s="5"/>
      <c r="H529" s="6" t="e">
        <f>G529-#REF!</f>
        <v>#REF!</v>
      </c>
      <c r="I529" s="82"/>
      <c r="J529" s="6"/>
    </row>
    <row r="530" spans="1:10" ht="23.25" hidden="1" customHeight="1" x14ac:dyDescent="0.25">
      <c r="A530" s="49"/>
      <c r="B530" s="52"/>
      <c r="C530" s="92"/>
      <c r="D530" s="9"/>
      <c r="E530" s="207"/>
      <c r="F530" s="6"/>
      <c r="G530" s="5"/>
      <c r="H530" s="6" t="e">
        <f>G530-#REF!</f>
        <v>#REF!</v>
      </c>
      <c r="I530" s="82"/>
      <c r="J530" s="6"/>
    </row>
    <row r="531" spans="1:10" ht="24.75" hidden="1" customHeight="1" x14ac:dyDescent="0.25">
      <c r="A531" s="143" t="s">
        <v>103</v>
      </c>
      <c r="B531" s="125">
        <v>7340</v>
      </c>
      <c r="C531" s="95"/>
      <c r="D531" s="63"/>
      <c r="E531" s="205">
        <f>E532</f>
        <v>0</v>
      </c>
      <c r="F531" s="64">
        <f>F532</f>
        <v>0</v>
      </c>
      <c r="G531" s="64">
        <f>G532</f>
        <v>0</v>
      </c>
      <c r="H531" s="64" t="e">
        <f>H532</f>
        <v>#REF!</v>
      </c>
      <c r="I531" s="82"/>
      <c r="J531" s="64"/>
    </row>
    <row r="532" spans="1:10" ht="24.75" hidden="1" customHeight="1" x14ac:dyDescent="0.3">
      <c r="A532" s="96"/>
      <c r="B532" s="97"/>
      <c r="C532" s="95"/>
      <c r="D532" s="68" t="s">
        <v>46</v>
      </c>
      <c r="E532" s="206">
        <f>SUM(E533)</f>
        <v>0</v>
      </c>
      <c r="F532" s="10">
        <f>SUM(F533:F534)</f>
        <v>0</v>
      </c>
      <c r="G532" s="10">
        <f>SUM(G533:G534)</f>
        <v>0</v>
      </c>
      <c r="H532" s="10" t="e">
        <f>SUM(H533:H534)</f>
        <v>#REF!</v>
      </c>
      <c r="I532" s="82"/>
      <c r="J532" s="10"/>
    </row>
    <row r="533" spans="1:10" ht="25.5" hidden="1" customHeight="1" x14ac:dyDescent="0.25">
      <c r="A533" s="155"/>
      <c r="B533" s="125"/>
      <c r="C533" s="127"/>
      <c r="D533" s="9"/>
      <c r="E533" s="204"/>
      <c r="F533" s="74"/>
      <c r="G533" s="6"/>
      <c r="H533" s="6" t="e">
        <f>G533-#REF!</f>
        <v>#REF!</v>
      </c>
      <c r="I533" s="82"/>
      <c r="J533" s="6"/>
    </row>
    <row r="534" spans="1:10" ht="25.5" hidden="1" customHeight="1" x14ac:dyDescent="0.25">
      <c r="A534" s="155"/>
      <c r="B534" s="125"/>
      <c r="C534" s="127"/>
      <c r="D534" s="173"/>
      <c r="E534" s="204"/>
      <c r="F534" s="74"/>
      <c r="G534" s="6"/>
      <c r="H534" s="6" t="e">
        <f>G534-#REF!</f>
        <v>#REF!</v>
      </c>
      <c r="I534" s="82"/>
      <c r="J534" s="6"/>
    </row>
    <row r="535" spans="1:10" ht="16.5" customHeight="1" x14ac:dyDescent="0.25">
      <c r="A535" s="155"/>
      <c r="B535" s="125"/>
      <c r="C535" s="127"/>
      <c r="D535" s="128"/>
      <c r="E535" s="204"/>
      <c r="F535" s="194"/>
      <c r="G535" s="48"/>
      <c r="H535" s="48"/>
      <c r="I535" s="82"/>
      <c r="J535" s="48"/>
    </row>
    <row r="536" spans="1:10" ht="21" customHeight="1" x14ac:dyDescent="0.25">
      <c r="A536" s="100" t="s">
        <v>104</v>
      </c>
      <c r="B536" s="125">
        <v>7370</v>
      </c>
      <c r="C536" s="129"/>
      <c r="D536" s="130"/>
      <c r="E536" s="78">
        <f>E537+E542+E583</f>
        <v>41800000</v>
      </c>
      <c r="F536" s="78">
        <f>F537+F542+F583</f>
        <v>42859876</v>
      </c>
      <c r="G536" s="78">
        <f>G537+G542+G583</f>
        <v>17111441</v>
      </c>
      <c r="H536" s="78">
        <f>H537+H542+H583</f>
        <v>3902081.14</v>
      </c>
      <c r="I536" s="24">
        <f>H536/G536*100</f>
        <v>22.803930656687534</v>
      </c>
      <c r="J536" s="78"/>
    </row>
    <row r="537" spans="1:10" ht="21" customHeight="1" x14ac:dyDescent="0.3">
      <c r="A537" s="100"/>
      <c r="B537" s="154"/>
      <c r="C537" s="129"/>
      <c r="D537" s="68" t="s">
        <v>14</v>
      </c>
      <c r="E537" s="13">
        <f>SUM(E538:E541)</f>
        <v>300000</v>
      </c>
      <c r="F537" s="13">
        <f>SUM(F538:F541)</f>
        <v>300000</v>
      </c>
      <c r="G537" s="13">
        <f>SUM(G538:G541)</f>
        <v>300000</v>
      </c>
      <c r="H537" s="13">
        <f>SUM(H538:H540)</f>
        <v>0</v>
      </c>
      <c r="I537" s="24">
        <f>H537/G537*100</f>
        <v>0</v>
      </c>
      <c r="J537" s="13"/>
    </row>
    <row r="538" spans="1:10" ht="95.25" customHeight="1" x14ac:dyDescent="0.25">
      <c r="A538" s="155"/>
      <c r="B538" s="97"/>
      <c r="C538" s="125"/>
      <c r="D538" s="54" t="s">
        <v>184</v>
      </c>
      <c r="E538" s="156">
        <v>300000</v>
      </c>
      <c r="F538" s="156">
        <f>300000-300000</f>
        <v>0</v>
      </c>
      <c r="G538" s="6"/>
      <c r="H538" s="6"/>
      <c r="I538" s="82"/>
      <c r="J538" s="6"/>
    </row>
    <row r="539" spans="1:10" ht="96.75" customHeight="1" x14ac:dyDescent="0.25">
      <c r="A539" s="155"/>
      <c r="B539" s="97"/>
      <c r="C539" s="125"/>
      <c r="D539" s="54" t="s">
        <v>216</v>
      </c>
      <c r="E539" s="74"/>
      <c r="F539" s="6">
        <f>300000</f>
        <v>300000</v>
      </c>
      <c r="G539" s="6">
        <f>150000+150000</f>
        <v>300000</v>
      </c>
      <c r="H539" s="6"/>
      <c r="I539" s="82">
        <f>H539/G539*100</f>
        <v>0</v>
      </c>
      <c r="J539" s="6"/>
    </row>
    <row r="540" spans="1:10" ht="40.5" customHeight="1" x14ac:dyDescent="0.25">
      <c r="A540" s="155"/>
      <c r="B540" s="97"/>
      <c r="C540" s="125"/>
      <c r="D540" s="54" t="s">
        <v>235</v>
      </c>
      <c r="E540" s="74"/>
      <c r="F540" s="6">
        <f>500000-500000</f>
        <v>0</v>
      </c>
      <c r="G540" s="6">
        <f>200000-200000</f>
        <v>0</v>
      </c>
      <c r="H540" s="6"/>
      <c r="I540" s="82"/>
      <c r="J540" s="6"/>
    </row>
    <row r="541" spans="1:10" ht="12.75" customHeight="1" x14ac:dyDescent="0.25">
      <c r="A541" s="155"/>
      <c r="B541" s="97"/>
      <c r="C541" s="125"/>
      <c r="D541" s="240"/>
      <c r="E541" s="74"/>
      <c r="F541" s="6"/>
      <c r="G541" s="6"/>
      <c r="H541" s="6"/>
      <c r="I541" s="82"/>
      <c r="J541" s="6"/>
    </row>
    <row r="542" spans="1:10" ht="19.5" customHeight="1" x14ac:dyDescent="0.3">
      <c r="A542" s="96"/>
      <c r="B542" s="97"/>
      <c r="C542" s="95"/>
      <c r="D542" s="68" t="s">
        <v>15</v>
      </c>
      <c r="E542" s="10">
        <f>SUM(E543:E575)</f>
        <v>9900000</v>
      </c>
      <c r="F542" s="10">
        <f>SUM(F543:F575)</f>
        <v>23953358</v>
      </c>
      <c r="G542" s="10">
        <f>SUM(G543:G575)</f>
        <v>10204923</v>
      </c>
      <c r="H542" s="10">
        <f>SUM(H543:H575)</f>
        <v>3541339.62</v>
      </c>
      <c r="I542" s="24">
        <f>H542/G542*100</f>
        <v>34.702266935282118</v>
      </c>
      <c r="J542" s="10"/>
    </row>
    <row r="543" spans="1:10" ht="40.5" customHeight="1" x14ac:dyDescent="0.25">
      <c r="A543" s="208"/>
      <c r="B543" s="209"/>
      <c r="C543" s="95"/>
      <c r="D543" s="93" t="s">
        <v>217</v>
      </c>
      <c r="E543" s="5"/>
      <c r="F543" s="5">
        <f>700000-700000</f>
        <v>0</v>
      </c>
      <c r="G543" s="5"/>
      <c r="H543" s="6"/>
      <c r="I543" s="82"/>
      <c r="J543" s="10"/>
    </row>
    <row r="544" spans="1:10" ht="55.5" customHeight="1" x14ac:dyDescent="0.25">
      <c r="A544" s="208"/>
      <c r="B544" s="209"/>
      <c r="C544" s="95"/>
      <c r="D544" s="210" t="s">
        <v>228</v>
      </c>
      <c r="E544" s="5"/>
      <c r="F544" s="5">
        <f>700000+100000</f>
        <v>800000</v>
      </c>
      <c r="G544" s="5">
        <f>9400+626075+64525+82485</f>
        <v>782485</v>
      </c>
      <c r="H544" s="5">
        <f>626558+144727</f>
        <v>771285</v>
      </c>
      <c r="I544" s="82">
        <f>H544/G544*100</f>
        <v>98.568662658070124</v>
      </c>
      <c r="J544" s="10"/>
    </row>
    <row r="545" spans="1:10" ht="37.5" customHeight="1" x14ac:dyDescent="0.25">
      <c r="A545" s="208"/>
      <c r="B545" s="209"/>
      <c r="C545" s="95"/>
      <c r="D545" s="93" t="s">
        <v>218</v>
      </c>
      <c r="E545" s="5"/>
      <c r="F545" s="5">
        <f>500000-500000</f>
        <v>0</v>
      </c>
      <c r="G545" s="5"/>
      <c r="H545" s="6"/>
      <c r="I545" s="82"/>
      <c r="J545" s="10"/>
    </row>
    <row r="546" spans="1:10" ht="48.75" customHeight="1" x14ac:dyDescent="0.25">
      <c r="A546" s="208"/>
      <c r="B546" s="209"/>
      <c r="C546" s="95"/>
      <c r="D546" s="93" t="s">
        <v>250</v>
      </c>
      <c r="E546" s="5"/>
      <c r="F546" s="5">
        <f>1500000</f>
        <v>1500000</v>
      </c>
      <c r="G546" s="5">
        <f>200000+482205-482205-200000</f>
        <v>0</v>
      </c>
      <c r="H546" s="6"/>
      <c r="I546" s="82"/>
      <c r="J546" s="10"/>
    </row>
    <row r="547" spans="1:10" ht="72.75" customHeight="1" x14ac:dyDescent="0.25">
      <c r="A547" s="208"/>
      <c r="B547" s="209"/>
      <c r="C547" s="95"/>
      <c r="D547" s="93" t="s">
        <v>219</v>
      </c>
      <c r="E547" s="5"/>
      <c r="F547" s="5">
        <f>3118157</f>
        <v>3118157</v>
      </c>
      <c r="G547" s="5"/>
      <c r="H547" s="6"/>
      <c r="I547" s="82"/>
      <c r="J547" s="10"/>
    </row>
    <row r="548" spans="1:10" ht="59.25" customHeight="1" x14ac:dyDescent="0.25">
      <c r="A548" s="208"/>
      <c r="B548" s="209"/>
      <c r="C548" s="95"/>
      <c r="D548" s="93" t="s">
        <v>234</v>
      </c>
      <c r="E548" s="5"/>
      <c r="F548" s="5">
        <f>5000000</f>
        <v>5000000</v>
      </c>
      <c r="G548" s="5">
        <f>100000+1900000+1000000+1000000-1800000-1000000-1000000</f>
        <v>200000</v>
      </c>
      <c r="H548" s="5">
        <f>101137+10272</f>
        <v>111409</v>
      </c>
      <c r="I548" s="82">
        <f>H548/G548*100</f>
        <v>55.704500000000003</v>
      </c>
      <c r="J548" s="10"/>
    </row>
    <row r="549" spans="1:10" ht="76.5" customHeight="1" x14ac:dyDescent="0.25">
      <c r="A549" s="208"/>
      <c r="B549" s="209"/>
      <c r="C549" s="95"/>
      <c r="D549" s="210" t="s">
        <v>274</v>
      </c>
      <c r="E549" s="5"/>
      <c r="F549" s="5">
        <f>100000</f>
        <v>100000</v>
      </c>
      <c r="G549" s="5">
        <f>100000</f>
        <v>100000</v>
      </c>
      <c r="H549" s="6"/>
      <c r="I549" s="82">
        <f>H549/G549*100</f>
        <v>0</v>
      </c>
      <c r="J549" s="10"/>
    </row>
    <row r="550" spans="1:10" ht="93.75" x14ac:dyDescent="0.25">
      <c r="A550" s="49"/>
      <c r="B550" s="52"/>
      <c r="C550" s="92"/>
      <c r="D550" s="54" t="s">
        <v>185</v>
      </c>
      <c r="E550" s="156">
        <v>200000</v>
      </c>
      <c r="F550" s="156">
        <v>200000</v>
      </c>
      <c r="G550" s="5"/>
      <c r="H550" s="6"/>
      <c r="I550" s="82"/>
      <c r="J550" s="6"/>
    </row>
    <row r="551" spans="1:10" ht="100.5" customHeight="1" x14ac:dyDescent="0.25">
      <c r="A551" s="49"/>
      <c r="B551" s="52"/>
      <c r="C551" s="92"/>
      <c r="D551" s="54" t="s">
        <v>186</v>
      </c>
      <c r="E551" s="156">
        <v>200000</v>
      </c>
      <c r="F551" s="156">
        <f>200000-200000</f>
        <v>0</v>
      </c>
      <c r="G551" s="5">
        <f>200000-200000+200000-200000</f>
        <v>0</v>
      </c>
      <c r="H551" s="6"/>
      <c r="I551" s="82"/>
      <c r="J551" s="6"/>
    </row>
    <row r="552" spans="1:10" ht="100.5" customHeight="1" x14ac:dyDescent="0.25">
      <c r="A552" s="49"/>
      <c r="B552" s="52"/>
      <c r="C552" s="92"/>
      <c r="D552" s="54" t="s">
        <v>251</v>
      </c>
      <c r="E552" s="156"/>
      <c r="F552" s="156">
        <f>200000</f>
        <v>200000</v>
      </c>
      <c r="G552" s="5">
        <f>200000-200000</f>
        <v>0</v>
      </c>
      <c r="H552" s="6"/>
      <c r="I552" s="82"/>
      <c r="J552" s="6"/>
    </row>
    <row r="553" spans="1:10" ht="100.5" customHeight="1" x14ac:dyDescent="0.25">
      <c r="A553" s="49"/>
      <c r="B553" s="52"/>
      <c r="C553" s="92"/>
      <c r="D553" s="191" t="s">
        <v>252</v>
      </c>
      <c r="E553" s="156"/>
      <c r="F553" s="156">
        <f>155632</f>
        <v>155632</v>
      </c>
      <c r="G553" s="5">
        <f>95000</f>
        <v>95000</v>
      </c>
      <c r="H553" s="6">
        <f>95000</f>
        <v>95000</v>
      </c>
      <c r="I553" s="82">
        <f>H553/G553*100</f>
        <v>100</v>
      </c>
      <c r="J553" s="6"/>
    </row>
    <row r="554" spans="1:10" ht="95.25" customHeight="1" x14ac:dyDescent="0.25">
      <c r="A554" s="49"/>
      <c r="B554" s="52"/>
      <c r="C554" s="92"/>
      <c r="D554" s="54" t="s">
        <v>187</v>
      </c>
      <c r="E554" s="156">
        <v>200000</v>
      </c>
      <c r="F554" s="156">
        <v>200000</v>
      </c>
      <c r="G554" s="5">
        <f>200000-200000+200000</f>
        <v>200000</v>
      </c>
      <c r="H554" s="6"/>
      <c r="I554" s="82">
        <f>H554/G554*100</f>
        <v>0</v>
      </c>
      <c r="J554" s="6"/>
    </row>
    <row r="555" spans="1:10" ht="95.25" customHeight="1" x14ac:dyDescent="0.25">
      <c r="A555" s="49"/>
      <c r="B555" s="52"/>
      <c r="C555" s="92"/>
      <c r="D555" s="54" t="s">
        <v>188</v>
      </c>
      <c r="E555" s="156">
        <v>200000</v>
      </c>
      <c r="F555" s="156">
        <v>200000</v>
      </c>
      <c r="G555" s="5">
        <f>200000-200000+200000</f>
        <v>200000</v>
      </c>
      <c r="H555" s="6"/>
      <c r="I555" s="82">
        <f>H555/G555*100</f>
        <v>0</v>
      </c>
      <c r="J555" s="6"/>
    </row>
    <row r="556" spans="1:10" ht="84.75" customHeight="1" x14ac:dyDescent="0.25">
      <c r="A556" s="49"/>
      <c r="B556" s="52"/>
      <c r="C556" s="92"/>
      <c r="D556" s="210" t="s">
        <v>275</v>
      </c>
      <c r="E556" s="156"/>
      <c r="F556" s="156">
        <f>100000</f>
        <v>100000</v>
      </c>
      <c r="G556" s="5">
        <f>100000</f>
        <v>100000</v>
      </c>
      <c r="H556" s="6"/>
      <c r="I556" s="82">
        <f>H556/G556*100</f>
        <v>0</v>
      </c>
      <c r="J556" s="6"/>
    </row>
    <row r="557" spans="1:10" ht="96" customHeight="1" x14ac:dyDescent="0.25">
      <c r="A557" s="49"/>
      <c r="B557" s="52"/>
      <c r="C557" s="92"/>
      <c r="D557" s="54" t="s">
        <v>189</v>
      </c>
      <c r="E557" s="156">
        <v>200000</v>
      </c>
      <c r="F557" s="156">
        <v>200000</v>
      </c>
      <c r="G557" s="5">
        <f>200000-200000+200000</f>
        <v>200000</v>
      </c>
      <c r="H557" s="6"/>
      <c r="I557" s="82">
        <f>H557/G557*100</f>
        <v>0</v>
      </c>
      <c r="J557" s="6"/>
    </row>
    <row r="558" spans="1:10" ht="74.25" customHeight="1" x14ac:dyDescent="0.25">
      <c r="A558" s="49"/>
      <c r="B558" s="52"/>
      <c r="C558" s="92"/>
      <c r="D558" s="54" t="s">
        <v>190</v>
      </c>
      <c r="E558" s="156">
        <v>300000</v>
      </c>
      <c r="F558" s="156">
        <f>300000-300000</f>
        <v>0</v>
      </c>
      <c r="G558" s="5">
        <f>300000-300000+300000-300000</f>
        <v>0</v>
      </c>
      <c r="H558" s="6"/>
      <c r="I558" s="82"/>
      <c r="J558" s="6"/>
    </row>
    <row r="559" spans="1:10" ht="55.5" customHeight="1" x14ac:dyDescent="0.25">
      <c r="A559" s="49"/>
      <c r="B559" s="52"/>
      <c r="C559" s="92"/>
      <c r="D559" s="240" t="s">
        <v>276</v>
      </c>
      <c r="E559" s="156"/>
      <c r="F559" s="156">
        <f>300000</f>
        <v>300000</v>
      </c>
      <c r="G559" s="5">
        <f>300000</f>
        <v>300000</v>
      </c>
      <c r="H559" s="6"/>
      <c r="I559" s="82">
        <f>H559/G559*100</f>
        <v>0</v>
      </c>
      <c r="J559" s="6"/>
    </row>
    <row r="560" spans="1:10" ht="99" customHeight="1" x14ac:dyDescent="0.25">
      <c r="A560" s="49"/>
      <c r="B560" s="52"/>
      <c r="C560" s="92"/>
      <c r="D560" s="54" t="s">
        <v>236</v>
      </c>
      <c r="E560" s="156">
        <v>2000000</v>
      </c>
      <c r="F560" s="156">
        <f>2000000-2000000</f>
        <v>0</v>
      </c>
      <c r="G560" s="104">
        <f>2000000-2000000</f>
        <v>0</v>
      </c>
      <c r="H560" s="6"/>
      <c r="I560" s="82"/>
      <c r="J560" s="6"/>
    </row>
    <row r="561" spans="1:10" ht="88.5" customHeight="1" x14ac:dyDescent="0.25">
      <c r="A561" s="49"/>
      <c r="B561" s="52"/>
      <c r="C561" s="92"/>
      <c r="D561" s="210" t="s">
        <v>278</v>
      </c>
      <c r="E561" s="156"/>
      <c r="F561" s="156">
        <f>100000</f>
        <v>100000</v>
      </c>
      <c r="G561" s="104"/>
      <c r="H561" s="6"/>
      <c r="I561" s="82"/>
      <c r="J561" s="6"/>
    </row>
    <row r="562" spans="1:10" ht="84.75" customHeight="1" x14ac:dyDescent="0.25">
      <c r="A562" s="49"/>
      <c r="B562" s="52"/>
      <c r="C562" s="92"/>
      <c r="D562" s="210" t="s">
        <v>279</v>
      </c>
      <c r="E562" s="156"/>
      <c r="F562" s="156">
        <f>100000</f>
        <v>100000</v>
      </c>
      <c r="G562" s="104"/>
      <c r="H562" s="6"/>
      <c r="I562" s="82"/>
      <c r="J562" s="6"/>
    </row>
    <row r="563" spans="1:10" ht="15" customHeight="1" x14ac:dyDescent="0.25">
      <c r="A563" s="49"/>
      <c r="B563" s="52"/>
      <c r="C563" s="92"/>
      <c r="D563" s="183"/>
      <c r="E563" s="211"/>
      <c r="F563" s="211"/>
      <c r="G563" s="5"/>
      <c r="H563" s="6"/>
      <c r="I563" s="82"/>
      <c r="J563" s="6"/>
    </row>
    <row r="564" spans="1:10" ht="96.75" customHeight="1" x14ac:dyDescent="0.25">
      <c r="A564" s="49"/>
      <c r="B564" s="52"/>
      <c r="C564" s="92"/>
      <c r="D564" s="54" t="s">
        <v>191</v>
      </c>
      <c r="E564" s="156">
        <v>200000</v>
      </c>
      <c r="F564" s="156">
        <f>200000+97000</f>
        <v>297000</v>
      </c>
      <c r="G564" s="5">
        <f>200000</f>
        <v>200000</v>
      </c>
      <c r="H564" s="6">
        <f>150000</f>
        <v>150000</v>
      </c>
      <c r="I564" s="82">
        <f t="shared" ref="I564:I573" si="26">H564/G564*100</f>
        <v>75</v>
      </c>
      <c r="J564" s="6"/>
    </row>
    <row r="565" spans="1:10" ht="62.25" customHeight="1" x14ac:dyDescent="0.25">
      <c r="A565" s="49"/>
      <c r="B565" s="52"/>
      <c r="C565" s="92"/>
      <c r="D565" s="93" t="s">
        <v>253</v>
      </c>
      <c r="E565" s="156"/>
      <c r="F565" s="156">
        <f>177906</f>
        <v>177906</v>
      </c>
      <c r="G565" s="5">
        <f>106000</f>
        <v>106000</v>
      </c>
      <c r="H565" s="6">
        <f>106000</f>
        <v>106000</v>
      </c>
      <c r="I565" s="82">
        <f t="shared" si="26"/>
        <v>100</v>
      </c>
      <c r="J565" s="6"/>
    </row>
    <row r="566" spans="1:10" ht="71.25" customHeight="1" x14ac:dyDescent="0.25">
      <c r="A566" s="49"/>
      <c r="B566" s="52"/>
      <c r="C566" s="92"/>
      <c r="D566" s="212" t="s">
        <v>220</v>
      </c>
      <c r="E566" s="156"/>
      <c r="F566" s="156">
        <f>100000</f>
        <v>100000</v>
      </c>
      <c r="G566" s="5">
        <f>41337</f>
        <v>41337</v>
      </c>
      <c r="H566" s="6">
        <f>41336.4</f>
        <v>41336.400000000001</v>
      </c>
      <c r="I566" s="82">
        <f t="shared" si="26"/>
        <v>99.998548515857465</v>
      </c>
      <c r="J566" s="6"/>
    </row>
    <row r="567" spans="1:10" ht="75.75" customHeight="1" x14ac:dyDescent="0.25">
      <c r="A567" s="49"/>
      <c r="B567" s="52"/>
      <c r="C567" s="92"/>
      <c r="D567" s="93" t="s">
        <v>221</v>
      </c>
      <c r="E567" s="156"/>
      <c r="F567" s="156">
        <f>230000</f>
        <v>230000</v>
      </c>
      <c r="G567" s="5">
        <f>22302+166609</f>
        <v>188911</v>
      </c>
      <c r="H567" s="6">
        <f>188905</f>
        <v>188905</v>
      </c>
      <c r="I567" s="82">
        <f t="shared" si="26"/>
        <v>99.996823901202163</v>
      </c>
      <c r="J567" s="6"/>
    </row>
    <row r="568" spans="1:10" ht="99" customHeight="1" x14ac:dyDescent="0.25">
      <c r="A568" s="49"/>
      <c r="B568" s="52"/>
      <c r="C568" s="92"/>
      <c r="D568" s="54" t="s">
        <v>192</v>
      </c>
      <c r="E568" s="156">
        <v>6000000</v>
      </c>
      <c r="F568" s="156">
        <f>6000000-1050000</f>
        <v>4950000</v>
      </c>
      <c r="G568" s="5">
        <f>1000000-1000000+2000000-9400-63639+1000000-626075-677710+1635475-1538559-82485+493482</f>
        <v>2131089</v>
      </c>
      <c r="H568" s="6"/>
      <c r="I568" s="82">
        <f t="shared" si="26"/>
        <v>0</v>
      </c>
      <c r="J568" s="6"/>
    </row>
    <row r="569" spans="1:10" ht="74.25" customHeight="1" x14ac:dyDescent="0.25">
      <c r="A569" s="49"/>
      <c r="B569" s="52"/>
      <c r="C569" s="92"/>
      <c r="D569" s="93" t="s">
        <v>222</v>
      </c>
      <c r="E569" s="156"/>
      <c r="F569" s="156">
        <f>1474663-700000</f>
        <v>774663</v>
      </c>
      <c r="G569" s="5">
        <f>677710</f>
        <v>677710</v>
      </c>
      <c r="H569" s="6">
        <f>677709.26</f>
        <v>677709.26</v>
      </c>
      <c r="I569" s="82">
        <f t="shared" si="26"/>
        <v>99.999890808753008</v>
      </c>
      <c r="J569" s="6"/>
    </row>
    <row r="570" spans="1:10" ht="77.25" customHeight="1" x14ac:dyDescent="0.25">
      <c r="A570" s="49"/>
      <c r="B570" s="52"/>
      <c r="C570" s="92"/>
      <c r="D570" s="54" t="s">
        <v>193</v>
      </c>
      <c r="E570" s="156">
        <v>200000</v>
      </c>
      <c r="F570" s="156">
        <v>200000</v>
      </c>
      <c r="G570" s="5">
        <f>200000-200000+200000</f>
        <v>200000</v>
      </c>
      <c r="H570" s="6"/>
      <c r="I570" s="82">
        <f t="shared" si="26"/>
        <v>0</v>
      </c>
      <c r="J570" s="6"/>
    </row>
    <row r="571" spans="1:10" ht="78" customHeight="1" x14ac:dyDescent="0.25">
      <c r="A571" s="49"/>
      <c r="B571" s="52"/>
      <c r="C571" s="92"/>
      <c r="D571" s="54" t="s">
        <v>194</v>
      </c>
      <c r="E571" s="156">
        <v>200000</v>
      </c>
      <c r="F571" s="156">
        <v>200000</v>
      </c>
      <c r="G571" s="5">
        <f>200000-200000+200000</f>
        <v>200000</v>
      </c>
      <c r="H571" s="6"/>
      <c r="I571" s="82">
        <f t="shared" si="26"/>
        <v>0</v>
      </c>
      <c r="J571" s="6"/>
    </row>
    <row r="572" spans="1:10" ht="57" customHeight="1" x14ac:dyDescent="0.25">
      <c r="A572" s="49"/>
      <c r="B572" s="52"/>
      <c r="C572" s="92"/>
      <c r="D572" s="93" t="s">
        <v>223</v>
      </c>
      <c r="E572" s="207"/>
      <c r="F572" s="6">
        <f>1650000</f>
        <v>1650000</v>
      </c>
      <c r="G572" s="5">
        <f>500000+500000+650000</f>
        <v>1650000</v>
      </c>
      <c r="H572" s="6">
        <f>12173+677528.64</f>
        <v>689701.64</v>
      </c>
      <c r="I572" s="82">
        <f t="shared" si="26"/>
        <v>41.800099393939391</v>
      </c>
      <c r="J572" s="6"/>
    </row>
    <row r="573" spans="1:10" ht="94.5" customHeight="1" x14ac:dyDescent="0.25">
      <c r="A573" s="49"/>
      <c r="B573" s="52"/>
      <c r="C573" s="92"/>
      <c r="D573" s="213" t="s">
        <v>277</v>
      </c>
      <c r="E573" s="156"/>
      <c r="F573" s="156">
        <f>2000000</f>
        <v>2000000</v>
      </c>
      <c r="G573" s="214">
        <f>2000000-367609</f>
        <v>1632391</v>
      </c>
      <c r="H573" s="215"/>
      <c r="I573" s="82">
        <f t="shared" si="26"/>
        <v>0</v>
      </c>
      <c r="J573" s="6"/>
    </row>
    <row r="574" spans="1:10" ht="81.75" customHeight="1" x14ac:dyDescent="0.25">
      <c r="A574" s="49"/>
      <c r="B574" s="52"/>
      <c r="C574" s="92"/>
      <c r="D574" s="93" t="s">
        <v>254</v>
      </c>
      <c r="E574" s="207"/>
      <c r="F574" s="6">
        <f>100000</f>
        <v>100000</v>
      </c>
      <c r="G574" s="5"/>
      <c r="H574" s="6"/>
      <c r="I574" s="82"/>
      <c r="J574" s="6"/>
    </row>
    <row r="575" spans="1:10" ht="57" customHeight="1" x14ac:dyDescent="0.25">
      <c r="A575" s="49"/>
      <c r="B575" s="52"/>
      <c r="C575" s="92"/>
      <c r="D575" s="216" t="s">
        <v>224</v>
      </c>
      <c r="E575" s="207"/>
      <c r="F575" s="6">
        <f>1000000</f>
        <v>1000000</v>
      </c>
      <c r="G575" s="5">
        <f>1000000-1000000+1000000</f>
        <v>1000000</v>
      </c>
      <c r="H575" s="6">
        <f>7494.74+702498.58</f>
        <v>709993.32</v>
      </c>
      <c r="I575" s="82">
        <f t="shared" ref="I575:I581" si="27">H575/G575*100</f>
        <v>70.999331999999995</v>
      </c>
      <c r="J575" s="6"/>
    </row>
    <row r="576" spans="1:10" hidden="1" x14ac:dyDescent="0.25">
      <c r="A576" s="49"/>
      <c r="B576" s="52"/>
      <c r="C576" s="92"/>
      <c r="D576" s="210"/>
      <c r="E576" s="207"/>
      <c r="F576" s="6"/>
      <c r="G576" s="5"/>
      <c r="H576" s="6" t="e">
        <f>G576-#REF!</f>
        <v>#REF!</v>
      </c>
      <c r="I576" s="82" t="e">
        <f t="shared" si="27"/>
        <v>#REF!</v>
      </c>
      <c r="J576" s="6"/>
    </row>
    <row r="577" spans="1:10" hidden="1" x14ac:dyDescent="0.25">
      <c r="A577" s="49"/>
      <c r="B577" s="52"/>
      <c r="C577" s="92"/>
      <c r="D577" s="54"/>
      <c r="E577" s="207"/>
      <c r="F577" s="7"/>
      <c r="G577" s="5"/>
      <c r="H577" s="6" t="e">
        <f>G577-#REF!</f>
        <v>#REF!</v>
      </c>
      <c r="I577" s="82" t="e">
        <f t="shared" si="27"/>
        <v>#REF!</v>
      </c>
      <c r="J577" s="6"/>
    </row>
    <row r="578" spans="1:10" ht="50.25" hidden="1" customHeight="1" x14ac:dyDescent="0.25">
      <c r="A578" s="49"/>
      <c r="B578" s="52"/>
      <c r="C578" s="92"/>
      <c r="D578" s="54"/>
      <c r="E578" s="207"/>
      <c r="F578" s="7"/>
      <c r="G578" s="5"/>
      <c r="H578" s="6" t="e">
        <f>G578-#REF!</f>
        <v>#REF!</v>
      </c>
      <c r="I578" s="82" t="e">
        <f t="shared" si="27"/>
        <v>#REF!</v>
      </c>
      <c r="J578" s="6"/>
    </row>
    <row r="579" spans="1:10" ht="50.25" hidden="1" customHeight="1" x14ac:dyDescent="0.25">
      <c r="A579" s="49"/>
      <c r="B579" s="52"/>
      <c r="C579" s="92"/>
      <c r="D579" s="54"/>
      <c r="E579" s="207"/>
      <c r="F579" s="7"/>
      <c r="G579" s="5"/>
      <c r="H579" s="6" t="e">
        <f>G579-#REF!</f>
        <v>#REF!</v>
      </c>
      <c r="I579" s="82" t="e">
        <f t="shared" si="27"/>
        <v>#REF!</v>
      </c>
      <c r="J579" s="6"/>
    </row>
    <row r="580" spans="1:10" hidden="1" x14ac:dyDescent="0.25">
      <c r="A580" s="49"/>
      <c r="B580" s="52"/>
      <c r="C580" s="92"/>
      <c r="D580" s="54"/>
      <c r="E580" s="207"/>
      <c r="F580" s="7"/>
      <c r="G580" s="5"/>
      <c r="H580" s="6" t="e">
        <f>G580-#REF!</f>
        <v>#REF!</v>
      </c>
      <c r="I580" s="82" t="e">
        <f t="shared" si="27"/>
        <v>#REF!</v>
      </c>
      <c r="J580" s="6"/>
    </row>
    <row r="581" spans="1:10" ht="9" hidden="1" customHeight="1" x14ac:dyDescent="0.25">
      <c r="A581" s="49"/>
      <c r="B581" s="52"/>
      <c r="C581" s="92"/>
      <c r="D581" s="54"/>
      <c r="E581" s="207"/>
      <c r="F581" s="6"/>
      <c r="G581" s="5"/>
      <c r="H581" s="6" t="e">
        <f>G581-#REF!</f>
        <v>#REF!</v>
      </c>
      <c r="I581" s="82" t="e">
        <f t="shared" si="27"/>
        <v>#REF!</v>
      </c>
      <c r="J581" s="6"/>
    </row>
    <row r="582" spans="1:10" ht="16.5" customHeight="1" x14ac:dyDescent="0.3">
      <c r="A582" s="155"/>
      <c r="B582" s="97"/>
      <c r="C582" s="125"/>
      <c r="D582" s="327"/>
      <c r="E582" s="217"/>
      <c r="F582" s="218"/>
      <c r="G582" s="48"/>
      <c r="H582" s="48"/>
      <c r="I582" s="82"/>
      <c r="J582" s="6"/>
    </row>
    <row r="583" spans="1:10" ht="22.5" customHeight="1" x14ac:dyDescent="0.3">
      <c r="A583" s="100"/>
      <c r="B583" s="125"/>
      <c r="C583" s="129"/>
      <c r="D583" s="68" t="s">
        <v>16</v>
      </c>
      <c r="E583" s="13">
        <f>SUM(E584:E593)</f>
        <v>31600000</v>
      </c>
      <c r="F583" s="13">
        <f>SUM(F584:F595)</f>
        <v>18606518</v>
      </c>
      <c r="G583" s="13">
        <f>SUM(G584:G595)</f>
        <v>6606518</v>
      </c>
      <c r="H583" s="13">
        <f>SUM(H584:H593)</f>
        <v>360741.52</v>
      </c>
      <c r="I583" s="24">
        <f>H583/G583*100</f>
        <v>5.4603880591863971</v>
      </c>
      <c r="J583" s="13"/>
    </row>
    <row r="584" spans="1:10" ht="39.75" customHeight="1" x14ac:dyDescent="0.25">
      <c r="A584" s="100"/>
      <c r="B584" s="125"/>
      <c r="C584" s="129"/>
      <c r="D584" s="54" t="s">
        <v>195</v>
      </c>
      <c r="E584" s="156">
        <v>5000000</v>
      </c>
      <c r="F584" s="156">
        <f>5000000-5000000</f>
        <v>0</v>
      </c>
      <c r="G584" s="6">
        <f>100000-100000</f>
        <v>0</v>
      </c>
      <c r="H584" s="74"/>
      <c r="I584" s="82"/>
      <c r="J584" s="74"/>
    </row>
    <row r="585" spans="1:10" ht="54" customHeight="1" x14ac:dyDescent="0.25">
      <c r="A585" s="100"/>
      <c r="B585" s="125"/>
      <c r="C585" s="129"/>
      <c r="D585" s="54" t="s">
        <v>196</v>
      </c>
      <c r="E585" s="156">
        <v>100000</v>
      </c>
      <c r="F585" s="156">
        <v>100000</v>
      </c>
      <c r="G585" s="6">
        <f>100000</f>
        <v>100000</v>
      </c>
      <c r="H585" s="74"/>
      <c r="I585" s="82">
        <f>H585/G585*100</f>
        <v>0</v>
      </c>
      <c r="J585" s="74"/>
    </row>
    <row r="586" spans="1:10" ht="39" customHeight="1" x14ac:dyDescent="0.25">
      <c r="A586" s="100"/>
      <c r="B586" s="125"/>
      <c r="C586" s="129"/>
      <c r="D586" s="54" t="s">
        <v>197</v>
      </c>
      <c r="E586" s="156">
        <v>15000000</v>
      </c>
      <c r="F586" s="156">
        <v>15000000</v>
      </c>
      <c r="G586" s="6">
        <f>2000000+2000000-2000000+2000000</f>
        <v>4000000</v>
      </c>
      <c r="H586" s="74"/>
      <c r="I586" s="82">
        <f>H586/G586*100</f>
        <v>0</v>
      </c>
      <c r="J586" s="74"/>
    </row>
    <row r="587" spans="1:10" ht="39" customHeight="1" x14ac:dyDescent="0.25">
      <c r="A587" s="100"/>
      <c r="B587" s="125"/>
      <c r="C587" s="129"/>
      <c r="D587" s="93" t="s">
        <v>255</v>
      </c>
      <c r="E587" s="156"/>
      <c r="F587" s="156">
        <f>500000</f>
        <v>500000</v>
      </c>
      <c r="G587" s="6"/>
      <c r="H587" s="74"/>
      <c r="I587" s="82"/>
      <c r="J587" s="74"/>
    </row>
    <row r="588" spans="1:10" ht="45" customHeight="1" x14ac:dyDescent="0.25">
      <c r="A588" s="100"/>
      <c r="B588" s="125"/>
      <c r="C588" s="129"/>
      <c r="D588" s="93" t="s">
        <v>256</v>
      </c>
      <c r="E588" s="156"/>
      <c r="F588" s="156">
        <f>500000</f>
        <v>500000</v>
      </c>
      <c r="G588" s="6"/>
      <c r="H588" s="74"/>
      <c r="I588" s="82"/>
      <c r="J588" s="74"/>
    </row>
    <row r="589" spans="1:10" ht="57" customHeight="1" x14ac:dyDescent="0.25">
      <c r="A589" s="100"/>
      <c r="B589" s="125"/>
      <c r="C589" s="129"/>
      <c r="D589" s="54" t="s">
        <v>198</v>
      </c>
      <c r="E589" s="156">
        <v>500000</v>
      </c>
      <c r="F589" s="156">
        <v>500000</v>
      </c>
      <c r="G589" s="6">
        <f>500000</f>
        <v>500000</v>
      </c>
      <c r="H589" s="74"/>
      <c r="I589" s="82">
        <f>H589/G589*100</f>
        <v>0</v>
      </c>
      <c r="J589" s="74"/>
    </row>
    <row r="590" spans="1:10" ht="56.25" customHeight="1" x14ac:dyDescent="0.25">
      <c r="A590" s="100"/>
      <c r="B590" s="125"/>
      <c r="C590" s="129"/>
      <c r="D590" s="54" t="s">
        <v>199</v>
      </c>
      <c r="E590" s="156">
        <v>500000</v>
      </c>
      <c r="F590" s="156">
        <f>500000-500000</f>
        <v>0</v>
      </c>
      <c r="G590" s="6"/>
      <c r="H590" s="74"/>
      <c r="I590" s="82"/>
      <c r="J590" s="74"/>
    </row>
    <row r="591" spans="1:10" ht="97.5" customHeight="1" x14ac:dyDescent="0.25">
      <c r="A591" s="100"/>
      <c r="B591" s="125"/>
      <c r="C591" s="129"/>
      <c r="D591" s="210" t="s">
        <v>237</v>
      </c>
      <c r="E591" s="156"/>
      <c r="F591" s="156">
        <f>500000</f>
        <v>500000</v>
      </c>
      <c r="G591" s="6">
        <f>500000</f>
        <v>500000</v>
      </c>
      <c r="H591" s="74">
        <f>304044.15</f>
        <v>304044.15000000002</v>
      </c>
      <c r="I591" s="82">
        <f>H591/G591*100</f>
        <v>60.80883</v>
      </c>
      <c r="J591" s="74"/>
    </row>
    <row r="592" spans="1:10" ht="39" customHeight="1" x14ac:dyDescent="0.25">
      <c r="A592" s="100"/>
      <c r="B592" s="125"/>
      <c r="C592" s="129"/>
      <c r="D592" s="54" t="s">
        <v>200</v>
      </c>
      <c r="E592" s="156">
        <v>500000</v>
      </c>
      <c r="F592" s="156">
        <v>500000</v>
      </c>
      <c r="G592" s="6">
        <f>500000</f>
        <v>500000</v>
      </c>
      <c r="H592" s="74"/>
      <c r="I592" s="82">
        <f>H592/G592*100</f>
        <v>0</v>
      </c>
      <c r="J592" s="74"/>
    </row>
    <row r="593" spans="1:10" ht="95.25" customHeight="1" x14ac:dyDescent="0.25">
      <c r="A593" s="100"/>
      <c r="B593" s="125"/>
      <c r="C593" s="129"/>
      <c r="D593" s="54" t="s">
        <v>201</v>
      </c>
      <c r="E593" s="156">
        <v>10000000</v>
      </c>
      <c r="F593" s="156">
        <f>10000000-1193482-5000000-2800000</f>
        <v>1006518</v>
      </c>
      <c r="G593" s="6">
        <f>850000-850000+850000+150000+6518</f>
        <v>1006518</v>
      </c>
      <c r="H593" s="74">
        <f>56697.37</f>
        <v>56697.37</v>
      </c>
      <c r="I593" s="82">
        <f>H593/G593*100</f>
        <v>5.6330209693219597</v>
      </c>
      <c r="J593" s="74"/>
    </row>
    <row r="594" spans="1:10" ht="12.75" customHeight="1" x14ac:dyDescent="0.25">
      <c r="A594" s="100"/>
      <c r="B594" s="125"/>
      <c r="C594" s="129"/>
      <c r="D594" s="210"/>
      <c r="E594" s="194"/>
      <c r="F594" s="6"/>
      <c r="G594" s="6"/>
      <c r="H594" s="74"/>
      <c r="I594" s="82"/>
      <c r="J594" s="74"/>
    </row>
    <row r="595" spans="1:10" ht="27.75" hidden="1" customHeight="1" x14ac:dyDescent="0.25">
      <c r="A595" s="155"/>
      <c r="B595" s="97"/>
      <c r="C595" s="125"/>
      <c r="D595" s="210"/>
      <c r="E595" s="217"/>
      <c r="F595" s="193"/>
      <c r="G595" s="6"/>
      <c r="H595" s="6" t="e">
        <f>G595-#REF!</f>
        <v>#REF!</v>
      </c>
      <c r="I595" s="82" t="e">
        <f t="shared" ref="I595:I603" si="28">H595/G595*100</f>
        <v>#REF!</v>
      </c>
      <c r="J595" s="6"/>
    </row>
    <row r="596" spans="1:10" ht="23.25" hidden="1" customHeight="1" x14ac:dyDescent="0.3">
      <c r="A596" s="155"/>
      <c r="B596" s="97"/>
      <c r="C596" s="125"/>
      <c r="D596" s="327"/>
      <c r="E596" s="217"/>
      <c r="F596" s="218"/>
      <c r="G596" s="48"/>
      <c r="H596" s="48"/>
      <c r="I596" s="82" t="e">
        <f t="shared" si="28"/>
        <v>#DIV/0!</v>
      </c>
      <c r="J596" s="48"/>
    </row>
    <row r="597" spans="1:10" ht="23.25" hidden="1" customHeight="1" x14ac:dyDescent="0.25">
      <c r="A597" s="100">
        <v>3117461</v>
      </c>
      <c r="B597" s="125">
        <v>7461</v>
      </c>
      <c r="C597" s="129"/>
      <c r="D597" s="130"/>
      <c r="E597" s="198">
        <f>E598</f>
        <v>0</v>
      </c>
      <c r="F597" s="198">
        <f>F598</f>
        <v>0</v>
      </c>
      <c r="G597" s="198">
        <f>G598</f>
        <v>0</v>
      </c>
      <c r="H597" s="198" t="e">
        <f>H598</f>
        <v>#REF!</v>
      </c>
      <c r="I597" s="82" t="e">
        <f t="shared" si="28"/>
        <v>#REF!</v>
      </c>
      <c r="J597" s="198"/>
    </row>
    <row r="598" spans="1:10" ht="23.25" hidden="1" customHeight="1" x14ac:dyDescent="0.3">
      <c r="A598" s="100"/>
      <c r="B598" s="154"/>
      <c r="C598" s="129"/>
      <c r="D598" s="68" t="s">
        <v>15</v>
      </c>
      <c r="E598" s="203">
        <f>SUM(E599:E599)</f>
        <v>0</v>
      </c>
      <c r="F598" s="203">
        <f>SUM(F599:F599)</f>
        <v>0</v>
      </c>
      <c r="G598" s="203">
        <f>SUM(G599:G599)</f>
        <v>0</v>
      </c>
      <c r="H598" s="203" t="e">
        <f>SUM(H599:H599)</f>
        <v>#REF!</v>
      </c>
      <c r="I598" s="82" t="e">
        <f t="shared" si="28"/>
        <v>#REF!</v>
      </c>
      <c r="J598" s="203"/>
    </row>
    <row r="599" spans="1:10" ht="39.75" hidden="1" customHeight="1" x14ac:dyDescent="0.25">
      <c r="A599" s="155"/>
      <c r="B599" s="97"/>
      <c r="C599" s="125"/>
      <c r="D599" s="85"/>
      <c r="E599" s="194"/>
      <c r="F599" s="48"/>
      <c r="G599" s="48"/>
      <c r="H599" s="48" t="e">
        <f>G599-#REF!</f>
        <v>#REF!</v>
      </c>
      <c r="I599" s="82" t="e">
        <f t="shared" si="28"/>
        <v>#REF!</v>
      </c>
      <c r="J599" s="48"/>
    </row>
    <row r="600" spans="1:10" ht="24.75" hidden="1" customHeight="1" x14ac:dyDescent="0.25">
      <c r="A600" s="155"/>
      <c r="B600" s="97"/>
      <c r="C600" s="125"/>
      <c r="D600" s="85"/>
      <c r="E600" s="194"/>
      <c r="F600" s="48"/>
      <c r="G600" s="48"/>
      <c r="H600" s="48"/>
      <c r="I600" s="82" t="e">
        <f t="shared" si="28"/>
        <v>#DIV/0!</v>
      </c>
      <c r="J600" s="48"/>
    </row>
    <row r="601" spans="1:10" ht="21.75" customHeight="1" x14ac:dyDescent="0.25">
      <c r="A601" s="125">
        <v>3117670</v>
      </c>
      <c r="B601" s="124">
        <v>7670</v>
      </c>
      <c r="C601" s="125"/>
      <c r="D601" s="63"/>
      <c r="E601" s="219">
        <f>E602</f>
        <v>1000000</v>
      </c>
      <c r="F601" s="178">
        <f>F602</f>
        <v>5100000</v>
      </c>
      <c r="G601" s="178">
        <f>G602</f>
        <v>1000000</v>
      </c>
      <c r="H601" s="178">
        <f>H602</f>
        <v>250408.13</v>
      </c>
      <c r="I601" s="24">
        <f t="shared" si="28"/>
        <v>25.040813</v>
      </c>
      <c r="J601" s="219"/>
    </row>
    <row r="602" spans="1:10" ht="20.25" customHeight="1" x14ac:dyDescent="0.3">
      <c r="A602" s="155"/>
      <c r="B602" s="97"/>
      <c r="C602" s="125"/>
      <c r="D602" s="68" t="s">
        <v>22</v>
      </c>
      <c r="E602" s="171">
        <f>SUM(E603:E607)</f>
        <v>1000000</v>
      </c>
      <c r="F602" s="171">
        <f>SUM(F603:F607)</f>
        <v>5100000</v>
      </c>
      <c r="G602" s="171">
        <f>SUM(G603:G607)</f>
        <v>1000000</v>
      </c>
      <c r="H602" s="171">
        <f>SUM(H603:H607)</f>
        <v>250408.13</v>
      </c>
      <c r="I602" s="24">
        <f t="shared" si="28"/>
        <v>25.040813</v>
      </c>
      <c r="J602" s="171"/>
    </row>
    <row r="603" spans="1:10" ht="37.5" x14ac:dyDescent="0.25">
      <c r="A603" s="155"/>
      <c r="B603" s="97"/>
      <c r="C603" s="125"/>
      <c r="D603" s="54" t="s">
        <v>202</v>
      </c>
      <c r="E603" s="156">
        <v>1000000</v>
      </c>
      <c r="F603" s="156">
        <f>1000000+100000</f>
        <v>1100000</v>
      </c>
      <c r="G603" s="6">
        <f>1000000</f>
        <v>1000000</v>
      </c>
      <c r="H603" s="6">
        <f>248143.98+2264.15</f>
        <v>250408.13</v>
      </c>
      <c r="I603" s="82">
        <f t="shared" si="28"/>
        <v>25.040813</v>
      </c>
      <c r="J603" s="6"/>
    </row>
    <row r="604" spans="1:10" ht="39" customHeight="1" x14ac:dyDescent="0.25">
      <c r="A604" s="155"/>
      <c r="B604" s="97"/>
      <c r="C604" s="125"/>
      <c r="D604" s="54" t="s">
        <v>257</v>
      </c>
      <c r="E604" s="74"/>
      <c r="F604" s="74">
        <f>2000000</f>
        <v>2000000</v>
      </c>
      <c r="G604" s="6">
        <f>2000000-2000000</f>
        <v>0</v>
      </c>
      <c r="H604" s="6"/>
      <c r="I604" s="82"/>
      <c r="J604" s="6"/>
    </row>
    <row r="605" spans="1:10" ht="38.25" customHeight="1" x14ac:dyDescent="0.25">
      <c r="A605" s="155"/>
      <c r="B605" s="97"/>
      <c r="C605" s="125"/>
      <c r="D605" s="54" t="s">
        <v>258</v>
      </c>
      <c r="E605" s="74"/>
      <c r="F605" s="74">
        <f>2000000</f>
        <v>2000000</v>
      </c>
      <c r="G605" s="6">
        <f>1000000-1000000</f>
        <v>0</v>
      </c>
      <c r="H605" s="6"/>
      <c r="I605" s="82"/>
      <c r="J605" s="6"/>
    </row>
    <row r="606" spans="1:10" ht="36.75" hidden="1" customHeight="1" x14ac:dyDescent="0.25">
      <c r="A606" s="155"/>
      <c r="B606" s="97"/>
      <c r="C606" s="125"/>
      <c r="D606" s="240"/>
      <c r="E606" s="74"/>
      <c r="F606" s="74"/>
      <c r="G606" s="6"/>
      <c r="H606" s="6"/>
      <c r="I606" s="82" t="e">
        <f>H606/G606*100</f>
        <v>#DIV/0!</v>
      </c>
      <c r="J606" s="6"/>
    </row>
    <row r="607" spans="1:10" ht="15" customHeight="1" x14ac:dyDescent="0.25">
      <c r="A607" s="155"/>
      <c r="B607" s="97"/>
      <c r="C607" s="125"/>
      <c r="D607" s="54"/>
      <c r="E607" s="74"/>
      <c r="F607" s="74"/>
      <c r="G607" s="6"/>
      <c r="H607" s="6"/>
      <c r="I607" s="82"/>
      <c r="J607" s="6"/>
    </row>
    <row r="608" spans="1:10" ht="19.5" customHeight="1" x14ac:dyDescent="0.25">
      <c r="A608" s="125">
        <v>3118311</v>
      </c>
      <c r="B608" s="124">
        <v>8311</v>
      </c>
      <c r="C608" s="125"/>
      <c r="D608" s="63"/>
      <c r="E608" s="219">
        <f>E609+E614</f>
        <v>0</v>
      </c>
      <c r="F608" s="219">
        <f>F609+F614</f>
        <v>1700000</v>
      </c>
      <c r="G608" s="219">
        <f>G609+G614</f>
        <v>150000</v>
      </c>
      <c r="H608" s="219">
        <f>H609+H614</f>
        <v>0</v>
      </c>
      <c r="I608" s="24">
        <f>H608/G608*100</f>
        <v>0</v>
      </c>
      <c r="J608" s="6"/>
    </row>
    <row r="609" spans="1:10" ht="19.5" customHeight="1" x14ac:dyDescent="0.3">
      <c r="A609" s="155"/>
      <c r="B609" s="97"/>
      <c r="C609" s="125"/>
      <c r="D609" s="68" t="s">
        <v>15</v>
      </c>
      <c r="E609" s="171">
        <f>SUM(E610:E612)</f>
        <v>0</v>
      </c>
      <c r="F609" s="171">
        <f>SUM(F610:F612)</f>
        <v>1550000</v>
      </c>
      <c r="G609" s="171">
        <f>SUM(G610:G612)</f>
        <v>150000</v>
      </c>
      <c r="H609" s="171">
        <f>SUM(H610:H612)</f>
        <v>0</v>
      </c>
      <c r="I609" s="24">
        <f>H609/G609*100</f>
        <v>0</v>
      </c>
      <c r="J609" s="6"/>
    </row>
    <row r="610" spans="1:10" ht="57" customHeight="1" x14ac:dyDescent="0.25">
      <c r="A610" s="155"/>
      <c r="B610" s="97"/>
      <c r="C610" s="125"/>
      <c r="D610" s="54" t="s">
        <v>229</v>
      </c>
      <c r="E610" s="74"/>
      <c r="F610" s="74">
        <f>150000</f>
        <v>150000</v>
      </c>
      <c r="G610" s="6">
        <f>150000</f>
        <v>150000</v>
      </c>
      <c r="H610" s="6"/>
      <c r="I610" s="82">
        <f>H610/G610*100</f>
        <v>0</v>
      </c>
      <c r="J610" s="6"/>
    </row>
    <row r="611" spans="1:10" ht="78.75" customHeight="1" x14ac:dyDescent="0.25">
      <c r="A611" s="155"/>
      <c r="B611" s="97"/>
      <c r="C611" s="125"/>
      <c r="D611" s="54" t="s">
        <v>259</v>
      </c>
      <c r="E611" s="74"/>
      <c r="F611" s="74">
        <f>1400000-1400000</f>
        <v>0</v>
      </c>
      <c r="G611" s="6"/>
      <c r="H611" s="6"/>
      <c r="I611" s="82"/>
      <c r="J611" s="6"/>
    </row>
    <row r="612" spans="1:10" ht="73.5" customHeight="1" x14ac:dyDescent="0.25">
      <c r="A612" s="155"/>
      <c r="B612" s="97"/>
      <c r="C612" s="125"/>
      <c r="D612" s="188" t="s">
        <v>280</v>
      </c>
      <c r="E612" s="74"/>
      <c r="F612" s="74">
        <f>1400000</f>
        <v>1400000</v>
      </c>
      <c r="G612" s="6"/>
      <c r="H612" s="6"/>
      <c r="I612" s="82"/>
      <c r="J612" s="6"/>
    </row>
    <row r="613" spans="1:10" ht="15.75" customHeight="1" x14ac:dyDescent="0.25">
      <c r="A613" s="155"/>
      <c r="B613" s="97"/>
      <c r="C613" s="125"/>
      <c r="D613" s="240"/>
      <c r="E613" s="74"/>
      <c r="F613" s="74"/>
      <c r="G613" s="6"/>
      <c r="H613" s="6"/>
      <c r="I613" s="82"/>
      <c r="J613" s="6"/>
    </row>
    <row r="614" spans="1:10" ht="18.75" customHeight="1" x14ac:dyDescent="0.3">
      <c r="A614" s="155"/>
      <c r="B614" s="97"/>
      <c r="C614" s="125"/>
      <c r="D614" s="68" t="s">
        <v>16</v>
      </c>
      <c r="E614" s="171">
        <f>SUM(E615)</f>
        <v>0</v>
      </c>
      <c r="F614" s="171">
        <f>SUM(F615)</f>
        <v>150000</v>
      </c>
      <c r="G614" s="171">
        <f>SUM(G615)</f>
        <v>0</v>
      </c>
      <c r="H614" s="171">
        <f>SUM(H615)</f>
        <v>0</v>
      </c>
      <c r="I614" s="82"/>
      <c r="J614" s="6"/>
    </row>
    <row r="615" spans="1:10" ht="55.5" customHeight="1" x14ac:dyDescent="0.25">
      <c r="A615" s="155"/>
      <c r="B615" s="97"/>
      <c r="C615" s="125"/>
      <c r="D615" s="191" t="s">
        <v>260</v>
      </c>
      <c r="E615" s="74"/>
      <c r="F615" s="74">
        <f>150000</f>
        <v>150000</v>
      </c>
      <c r="G615" s="6"/>
      <c r="H615" s="6"/>
      <c r="I615" s="82"/>
      <c r="J615" s="6"/>
    </row>
    <row r="616" spans="1:10" ht="13.5" customHeight="1" x14ac:dyDescent="0.25">
      <c r="A616" s="155"/>
      <c r="B616" s="97"/>
      <c r="C616" s="125"/>
      <c r="D616" s="54"/>
      <c r="E616" s="74"/>
      <c r="F616" s="74"/>
      <c r="G616" s="6"/>
      <c r="H616" s="6"/>
      <c r="I616" s="82"/>
      <c r="J616" s="6"/>
    </row>
    <row r="617" spans="1:10" ht="41.25" customHeight="1" x14ac:dyDescent="0.35">
      <c r="A617" s="220">
        <v>3617130</v>
      </c>
      <c r="B617" s="221"/>
      <c r="C617" s="222"/>
      <c r="D617" s="121" t="s">
        <v>105</v>
      </c>
      <c r="E617" s="122">
        <f>E621+E623</f>
        <v>98000</v>
      </c>
      <c r="F617" s="170">
        <f>F618+F621+F623</f>
        <v>98000</v>
      </c>
      <c r="G617" s="170">
        <f>G618+G621+G623</f>
        <v>98000</v>
      </c>
      <c r="H617" s="170">
        <f>H621</f>
        <v>48000</v>
      </c>
      <c r="I617" s="24">
        <f t="shared" ref="I617:I622" si="29">H617/G617*100</f>
        <v>48.979591836734691</v>
      </c>
      <c r="J617" s="6"/>
    </row>
    <row r="618" spans="1:10" ht="26.25" hidden="1" customHeight="1" x14ac:dyDescent="0.3">
      <c r="A618" s="125">
        <v>3610160</v>
      </c>
      <c r="B618" s="100" t="s">
        <v>61</v>
      </c>
      <c r="C618" s="125"/>
      <c r="D618" s="68" t="s">
        <v>13</v>
      </c>
      <c r="E618" s="69">
        <f>E619</f>
        <v>0</v>
      </c>
      <c r="F618" s="45">
        <f>F619</f>
        <v>0</v>
      </c>
      <c r="G618" s="45">
        <f>G619</f>
        <v>0</v>
      </c>
      <c r="H618" s="45" t="e">
        <f>H619</f>
        <v>#REF!</v>
      </c>
      <c r="I618" s="24" t="e">
        <f t="shared" si="29"/>
        <v>#REF!</v>
      </c>
      <c r="J618" s="6"/>
    </row>
    <row r="619" spans="1:10" ht="18.75" hidden="1" customHeight="1" x14ac:dyDescent="0.25">
      <c r="A619" s="109"/>
      <c r="B619" s="223"/>
      <c r="C619" s="129"/>
      <c r="D619" s="85"/>
      <c r="E619" s="218"/>
      <c r="F619" s="193"/>
      <c r="G619" s="6"/>
      <c r="H619" s="6" t="e">
        <f>G619-#REF!</f>
        <v>#REF!</v>
      </c>
      <c r="I619" s="24" t="e">
        <f t="shared" si="29"/>
        <v>#REF!</v>
      </c>
      <c r="J619" s="6"/>
    </row>
    <row r="620" spans="1:10" ht="9" hidden="1" customHeight="1" x14ac:dyDescent="0.35">
      <c r="A620" s="220"/>
      <c r="B620" s="221"/>
      <c r="C620" s="222"/>
      <c r="D620" s="121"/>
      <c r="E620" s="122"/>
      <c r="F620" s="170"/>
      <c r="G620" s="170"/>
      <c r="H620" s="170"/>
      <c r="I620" s="24" t="e">
        <f t="shared" si="29"/>
        <v>#DIV/0!</v>
      </c>
      <c r="J620" s="6"/>
    </row>
    <row r="621" spans="1:10" ht="24.75" customHeight="1" x14ac:dyDescent="0.3">
      <c r="A621" s="125">
        <v>3617130</v>
      </c>
      <c r="B621" s="100">
        <v>7130</v>
      </c>
      <c r="C621" s="125"/>
      <c r="D621" s="68" t="s">
        <v>48</v>
      </c>
      <c r="E621" s="69">
        <f>E622</f>
        <v>98000</v>
      </c>
      <c r="F621" s="45">
        <f>F622</f>
        <v>98000</v>
      </c>
      <c r="G621" s="45">
        <f>G622</f>
        <v>98000</v>
      </c>
      <c r="H621" s="45">
        <f>H622</f>
        <v>48000</v>
      </c>
      <c r="I621" s="24">
        <f t="shared" si="29"/>
        <v>48.979591836734691</v>
      </c>
      <c r="J621" s="69"/>
    </row>
    <row r="622" spans="1:10" ht="36" customHeight="1" x14ac:dyDescent="0.25">
      <c r="A622" s="109"/>
      <c r="B622" s="223"/>
      <c r="C622" s="129"/>
      <c r="D622" s="54" t="s">
        <v>203</v>
      </c>
      <c r="E622" s="218">
        <f>98000</f>
        <v>98000</v>
      </c>
      <c r="F622" s="218">
        <f>98000</f>
        <v>98000</v>
      </c>
      <c r="G622" s="6">
        <f>98000</f>
        <v>98000</v>
      </c>
      <c r="H622" s="6">
        <f>5000+5000+15000+5000+18000</f>
        <v>48000</v>
      </c>
      <c r="I622" s="82">
        <f t="shared" si="29"/>
        <v>48.979591836734691</v>
      </c>
      <c r="J622" s="6"/>
    </row>
    <row r="623" spans="1:10" ht="13.5" customHeight="1" x14ac:dyDescent="0.25">
      <c r="A623" s="155"/>
      <c r="B623" s="97"/>
      <c r="C623" s="125"/>
      <c r="D623" s="54"/>
      <c r="E623" s="74"/>
      <c r="F623" s="74"/>
      <c r="G623" s="6"/>
      <c r="H623" s="6"/>
      <c r="I623" s="82"/>
      <c r="J623" s="6"/>
    </row>
    <row r="624" spans="1:10" ht="38.25" hidden="1" customHeight="1" x14ac:dyDescent="0.35">
      <c r="A624" s="220">
        <v>3710000</v>
      </c>
      <c r="B624" s="221"/>
      <c r="C624" s="222"/>
      <c r="D624" s="121" t="s">
        <v>106</v>
      </c>
      <c r="E624" s="122">
        <f>E625+E627</f>
        <v>0</v>
      </c>
      <c r="F624" s="170">
        <f>F625+F627</f>
        <v>0</v>
      </c>
      <c r="G624" s="170">
        <f>G625+G627</f>
        <v>0</v>
      </c>
      <c r="H624" s="170" t="e">
        <f>G624-#REF!</f>
        <v>#REF!</v>
      </c>
      <c r="I624" s="82"/>
      <c r="J624" s="122"/>
    </row>
    <row r="625" spans="1:10" ht="21" hidden="1" customHeight="1" x14ac:dyDescent="0.3">
      <c r="A625" s="125" t="s">
        <v>107</v>
      </c>
      <c r="B625" s="100" t="s">
        <v>61</v>
      </c>
      <c r="C625" s="125"/>
      <c r="D625" s="68" t="s">
        <v>13</v>
      </c>
      <c r="E625" s="69">
        <f>E626</f>
        <v>0</v>
      </c>
      <c r="F625" s="45">
        <f>F626</f>
        <v>0</v>
      </c>
      <c r="G625" s="45">
        <f>G626</f>
        <v>0</v>
      </c>
      <c r="H625" s="45" t="e">
        <f>H626</f>
        <v>#REF!</v>
      </c>
      <c r="I625" s="82"/>
      <c r="J625" s="69"/>
    </row>
    <row r="626" spans="1:10" ht="24" hidden="1" customHeight="1" x14ac:dyDescent="0.25">
      <c r="A626" s="109"/>
      <c r="B626" s="223"/>
      <c r="C626" s="129"/>
      <c r="D626" s="85"/>
      <c r="E626" s="218"/>
      <c r="F626" s="193"/>
      <c r="G626" s="6"/>
      <c r="H626" s="6" t="e">
        <f>G626-#REF!</f>
        <v>#REF!</v>
      </c>
      <c r="I626" s="82"/>
      <c r="J626" s="6"/>
    </row>
    <row r="627" spans="1:10" ht="26.25" hidden="1" customHeight="1" x14ac:dyDescent="0.3">
      <c r="A627" s="125"/>
      <c r="B627" s="124">
        <v>9770</v>
      </c>
      <c r="C627" s="129"/>
      <c r="D627" s="68" t="s">
        <v>57</v>
      </c>
      <c r="E627" s="69">
        <f>E628+E630+E631</f>
        <v>0</v>
      </c>
      <c r="F627" s="45">
        <f>F631+F634</f>
        <v>0</v>
      </c>
      <c r="G627" s="45">
        <f>G631+G634</f>
        <v>0</v>
      </c>
      <c r="H627" s="45" t="e">
        <f>H628+H629+H631</f>
        <v>#REF!</v>
      </c>
      <c r="I627" s="82"/>
      <c r="J627" s="69"/>
    </row>
    <row r="628" spans="1:10" ht="29.25" hidden="1" customHeight="1" x14ac:dyDescent="0.25">
      <c r="A628" s="109"/>
      <c r="B628" s="124"/>
      <c r="C628" s="129"/>
      <c r="D628" s="85"/>
      <c r="E628" s="7"/>
      <c r="F628" s="193"/>
      <c r="G628" s="6"/>
      <c r="H628" s="6" t="e">
        <f>G628-#REF!</f>
        <v>#REF!</v>
      </c>
      <c r="I628" s="82"/>
      <c r="J628" s="6"/>
    </row>
    <row r="629" spans="1:10" ht="29.25" hidden="1" customHeight="1" x14ac:dyDescent="0.25">
      <c r="A629" s="109"/>
      <c r="B629" s="124"/>
      <c r="C629" s="129"/>
      <c r="D629" s="224" t="s">
        <v>108</v>
      </c>
      <c r="E629" s="7"/>
      <c r="F629" s="172">
        <f>F630</f>
        <v>0</v>
      </c>
      <c r="G629" s="172">
        <f>G630</f>
        <v>0</v>
      </c>
      <c r="H629" s="172" t="e">
        <f>H630</f>
        <v>#REF!</v>
      </c>
      <c r="I629" s="82"/>
      <c r="J629" s="171"/>
    </row>
    <row r="630" spans="1:10" ht="69.75" hidden="1" customHeight="1" x14ac:dyDescent="0.25">
      <c r="A630" s="109"/>
      <c r="B630" s="124"/>
      <c r="C630" s="129"/>
      <c r="D630" s="85"/>
      <c r="E630" s="7"/>
      <c r="F630" s="193">
        <f>200000-200000</f>
        <v>0</v>
      </c>
      <c r="G630" s="6">
        <f>200000-200000</f>
        <v>0</v>
      </c>
      <c r="H630" s="6" t="e">
        <f>G630-#REF!</f>
        <v>#REF!</v>
      </c>
      <c r="I630" s="82"/>
      <c r="J630" s="6"/>
    </row>
    <row r="631" spans="1:10" ht="29.25" hidden="1" customHeight="1" x14ac:dyDescent="0.25">
      <c r="A631" s="109"/>
      <c r="B631" s="124"/>
      <c r="C631" s="129"/>
      <c r="D631" s="186" t="s">
        <v>109</v>
      </c>
      <c r="E631" s="7"/>
      <c r="F631" s="172">
        <f>SUM(F632:F633)</f>
        <v>0</v>
      </c>
      <c r="G631" s="172">
        <f>SUM(G632:G633)</f>
        <v>0</v>
      </c>
      <c r="H631" s="172" t="e">
        <f>SUM(H632:H634)</f>
        <v>#REF!</v>
      </c>
      <c r="I631" s="82"/>
      <c r="J631" s="172"/>
    </row>
    <row r="632" spans="1:10" ht="86.25" hidden="1" customHeight="1" x14ac:dyDescent="0.25">
      <c r="A632" s="109"/>
      <c r="B632" s="124"/>
      <c r="C632" s="129"/>
      <c r="D632" s="85"/>
      <c r="E632" s="7"/>
      <c r="F632" s="193"/>
      <c r="G632" s="6"/>
      <c r="H632" s="6" t="e">
        <f>G632-#REF!</f>
        <v>#REF!</v>
      </c>
      <c r="I632" s="82"/>
      <c r="J632" s="6"/>
    </row>
    <row r="633" spans="1:10" ht="28.5" hidden="1" customHeight="1" x14ac:dyDescent="0.25">
      <c r="A633" s="109"/>
      <c r="B633" s="124"/>
      <c r="C633" s="129"/>
      <c r="D633" s="85"/>
      <c r="E633" s="7"/>
      <c r="F633" s="193"/>
      <c r="G633" s="6"/>
      <c r="H633" s="6" t="e">
        <f>G633-#REF!</f>
        <v>#REF!</v>
      </c>
      <c r="I633" s="82"/>
      <c r="J633" s="6"/>
    </row>
    <row r="634" spans="1:10" ht="28.5" hidden="1" customHeight="1" x14ac:dyDescent="0.25">
      <c r="A634" s="109"/>
      <c r="B634" s="124"/>
      <c r="C634" s="129"/>
      <c r="D634" s="186" t="s">
        <v>150</v>
      </c>
      <c r="E634" s="7"/>
      <c r="F634" s="193">
        <f>F635+F636</f>
        <v>0</v>
      </c>
      <c r="G634" s="193">
        <f>G635+G636</f>
        <v>0</v>
      </c>
      <c r="H634" s="6" t="e">
        <f>G634-#REF!</f>
        <v>#REF!</v>
      </c>
      <c r="I634" s="82"/>
      <c r="J634" s="6"/>
    </row>
    <row r="635" spans="1:10" ht="31.5" hidden="1" customHeight="1" x14ac:dyDescent="0.25">
      <c r="A635" s="109"/>
      <c r="B635" s="124"/>
      <c r="C635" s="129"/>
      <c r="D635" s="8"/>
      <c r="E635" s="7"/>
      <c r="F635" s="193"/>
      <c r="G635" s="6"/>
      <c r="H635" s="6" t="e">
        <f>G635-#REF!</f>
        <v>#REF!</v>
      </c>
      <c r="I635" s="82"/>
      <c r="J635" s="6"/>
    </row>
    <row r="636" spans="1:10" ht="28.5" hidden="1" customHeight="1" x14ac:dyDescent="0.25">
      <c r="A636" s="109"/>
      <c r="B636" s="124"/>
      <c r="C636" s="129"/>
      <c r="D636" s="85"/>
      <c r="E636" s="7"/>
      <c r="F636" s="193"/>
      <c r="G636" s="6"/>
      <c r="H636" s="6" t="e">
        <f>G636-#REF!</f>
        <v>#REF!</v>
      </c>
      <c r="I636" s="82"/>
      <c r="J636" s="6"/>
    </row>
    <row r="637" spans="1:10" ht="18" hidden="1" customHeight="1" x14ac:dyDescent="0.25">
      <c r="A637" s="109"/>
      <c r="B637" s="124"/>
      <c r="C637" s="129"/>
      <c r="D637" s="85"/>
      <c r="E637" s="7"/>
      <c r="F637" s="193"/>
      <c r="G637" s="6"/>
      <c r="H637" s="6"/>
      <c r="I637" s="82"/>
      <c r="J637" s="6"/>
    </row>
    <row r="638" spans="1:10" ht="18" customHeight="1" x14ac:dyDescent="0.25">
      <c r="A638" s="109"/>
      <c r="B638" s="124"/>
      <c r="C638" s="129"/>
      <c r="D638" s="85"/>
      <c r="E638" s="7"/>
      <c r="F638" s="193"/>
      <c r="G638" s="6"/>
      <c r="H638" s="6"/>
      <c r="I638" s="82"/>
      <c r="J638" s="6"/>
    </row>
    <row r="639" spans="1:10" s="226" customFormat="1" ht="30" customHeight="1" x14ac:dyDescent="0.3">
      <c r="A639" s="225"/>
      <c r="B639" s="126"/>
      <c r="C639" s="338" t="s">
        <v>204</v>
      </c>
      <c r="D639" s="338"/>
      <c r="E639" s="126">
        <f>E8+E211+E289+E316+E372+E388+E617+E624</f>
        <v>201401355</v>
      </c>
      <c r="F639" s="126">
        <f>F8+F211+F289+F316+F372+F388+F617+F624</f>
        <v>201401355</v>
      </c>
      <c r="G639" s="126">
        <f>G8+G211+G289+G316+G372+G388+G617+G624</f>
        <v>103454755</v>
      </c>
      <c r="H639" s="126">
        <f>H8+H211+H289+H316+H388+H617</f>
        <v>32952564.93</v>
      </c>
      <c r="I639" s="24">
        <f>H639/G639*100</f>
        <v>31.852151145686825</v>
      </c>
      <c r="J639" s="126"/>
    </row>
    <row r="640" spans="1:10" s="226" customFormat="1" ht="15.75" customHeight="1" x14ac:dyDescent="0.3">
      <c r="A640" s="225"/>
      <c r="B640" s="126"/>
      <c r="C640" s="12"/>
      <c r="D640" s="12"/>
      <c r="E640" s="126"/>
      <c r="F640" s="126"/>
      <c r="G640" s="126"/>
      <c r="H640" s="126"/>
      <c r="I640" s="82"/>
      <c r="J640" s="126"/>
    </row>
    <row r="641" spans="1:10" s="226" customFormat="1" ht="59.25" customHeight="1" x14ac:dyDescent="0.3">
      <c r="A641" s="225"/>
      <c r="B641" s="126"/>
      <c r="C641" s="338" t="s">
        <v>284</v>
      </c>
      <c r="D641" s="338"/>
      <c r="E641" s="126">
        <f>E639</f>
        <v>201401355</v>
      </c>
      <c r="F641" s="126">
        <f>F639+3533.96</f>
        <v>201404888.96000001</v>
      </c>
      <c r="G641" s="126">
        <f>G639+3533.96</f>
        <v>103458288.95999999</v>
      </c>
      <c r="H641" s="126">
        <f>H639+3533.96</f>
        <v>32956098.890000001</v>
      </c>
      <c r="I641" s="24">
        <f>H641/G641*100</f>
        <v>31.854478960832029</v>
      </c>
      <c r="J641" s="126"/>
    </row>
    <row r="642" spans="1:10" s="226" customFormat="1" ht="41.25" hidden="1" customHeight="1" x14ac:dyDescent="0.3">
      <c r="A642" s="225"/>
      <c r="B642" s="126"/>
      <c r="C642" s="338" t="s">
        <v>205</v>
      </c>
      <c r="D642" s="338"/>
      <c r="E642" s="45">
        <f>E639+E722</f>
        <v>201401355</v>
      </c>
      <c r="F642" s="126">
        <f>F639+F722+F803</f>
        <v>203156354.87</v>
      </c>
      <c r="G642" s="126">
        <f>G639+G722+G803</f>
        <v>105209754.87</v>
      </c>
      <c r="H642" s="126" t="e">
        <f>H639+H722+H803</f>
        <v>#REF!</v>
      </c>
      <c r="I642" s="227" t="e">
        <f>H642/G642*100</f>
        <v>#REF!</v>
      </c>
      <c r="J642" s="126"/>
    </row>
    <row r="643" spans="1:10" ht="34.5" hidden="1" customHeight="1" x14ac:dyDescent="0.3">
      <c r="A643" s="228"/>
      <c r="B643" s="229"/>
      <c r="C643" s="338" t="s">
        <v>206</v>
      </c>
      <c r="D643" s="338"/>
      <c r="E643" s="45">
        <f>E642+E949+E825</f>
        <v>201401355</v>
      </c>
      <c r="F643" s="170">
        <f>F642+F814+F949+F825+F959</f>
        <v>203156354.87</v>
      </c>
      <c r="G643" s="170">
        <f>G642+G814+G949+G825+G959</f>
        <v>105209754.87</v>
      </c>
      <c r="H643" s="170" t="e">
        <f>H642+H814+H949+H825+H959</f>
        <v>#REF!</v>
      </c>
      <c r="I643" s="24" t="e">
        <f>H643/G643*100</f>
        <v>#REF!</v>
      </c>
      <c r="J643" s="126"/>
    </row>
    <row r="644" spans="1:10" ht="56.25" customHeight="1" x14ac:dyDescent="0.3">
      <c r="A644" s="230"/>
      <c r="B644" s="231"/>
      <c r="C644" s="232"/>
      <c r="D644" s="233"/>
      <c r="E644" s="232"/>
      <c r="F644" s="232"/>
      <c r="G644" s="232"/>
      <c r="H644" s="234"/>
      <c r="I644" s="234"/>
      <c r="J644" s="235"/>
    </row>
    <row r="645" spans="1:10" ht="20.25" customHeight="1" x14ac:dyDescent="0.3">
      <c r="A645" s="230"/>
      <c r="B645" s="231"/>
      <c r="C645" s="232"/>
      <c r="D645" s="350" t="s">
        <v>110</v>
      </c>
      <c r="E645" s="350"/>
      <c r="F645" s="350"/>
      <c r="G645" s="350"/>
      <c r="H645" s="350"/>
      <c r="I645" s="232"/>
      <c r="J645" s="232"/>
    </row>
    <row r="646" spans="1:10" ht="20.25" customHeight="1" x14ac:dyDescent="0.3">
      <c r="A646" s="230"/>
      <c r="B646" s="231"/>
      <c r="C646" s="232"/>
      <c r="D646" s="350" t="s">
        <v>230</v>
      </c>
      <c r="E646" s="350"/>
      <c r="F646" s="350"/>
      <c r="G646" s="350"/>
      <c r="H646" s="350"/>
      <c r="I646" s="232"/>
      <c r="J646" s="232"/>
    </row>
    <row r="647" spans="1:10" ht="22.5" customHeight="1" x14ac:dyDescent="0.3">
      <c r="A647" s="230"/>
      <c r="B647" s="231"/>
      <c r="C647" s="232"/>
      <c r="D647" s="341" t="s">
        <v>285</v>
      </c>
      <c r="E647" s="341"/>
      <c r="F647" s="341"/>
      <c r="G647" s="341"/>
      <c r="H647" s="341"/>
      <c r="I647" s="232"/>
      <c r="J647" s="232"/>
    </row>
    <row r="648" spans="1:10" ht="18.75" customHeight="1" x14ac:dyDescent="0.3">
      <c r="A648" s="230"/>
      <c r="B648" s="231"/>
      <c r="C648" s="232"/>
      <c r="D648" s="233"/>
      <c r="E648" s="232"/>
      <c r="F648" s="236"/>
      <c r="G648" s="232"/>
      <c r="H648" s="232"/>
      <c r="I648" s="232" t="s">
        <v>2</v>
      </c>
      <c r="J648" s="232"/>
    </row>
    <row r="649" spans="1:10" ht="31.5" customHeight="1" x14ac:dyDescent="0.25">
      <c r="A649" s="348" t="s">
        <v>3</v>
      </c>
      <c r="B649" s="348" t="s">
        <v>4</v>
      </c>
      <c r="C649" s="348" t="s">
        <v>5</v>
      </c>
      <c r="D649" s="342" t="s">
        <v>6</v>
      </c>
      <c r="E649" s="332" t="s">
        <v>152</v>
      </c>
      <c r="F649" s="336" t="s">
        <v>153</v>
      </c>
      <c r="G649" s="336" t="s">
        <v>281</v>
      </c>
      <c r="H649" s="336" t="s">
        <v>282</v>
      </c>
      <c r="I649" s="337" t="s">
        <v>283</v>
      </c>
      <c r="J649" s="36"/>
    </row>
    <row r="650" spans="1:10" ht="83.25" customHeight="1" x14ac:dyDescent="0.25">
      <c r="A650" s="349"/>
      <c r="B650" s="349"/>
      <c r="C650" s="349"/>
      <c r="D650" s="343"/>
      <c r="E650" s="332"/>
      <c r="F650" s="336"/>
      <c r="G650" s="336"/>
      <c r="H650" s="336"/>
      <c r="I650" s="337"/>
      <c r="J650" s="36"/>
    </row>
    <row r="651" spans="1:10" ht="26.25" customHeight="1" x14ac:dyDescent="0.25">
      <c r="A651" s="37" t="s">
        <v>9</v>
      </c>
      <c r="B651" s="38"/>
      <c r="C651" s="38"/>
      <c r="D651" s="39" t="s">
        <v>10</v>
      </c>
      <c r="E651" s="23">
        <f>E652</f>
        <v>0</v>
      </c>
      <c r="F651" s="328">
        <f>F652+F657</f>
        <v>1354999.87</v>
      </c>
      <c r="G651" s="328">
        <f>G652+G657</f>
        <v>1354999.87</v>
      </c>
      <c r="H651" s="328">
        <f>H652</f>
        <v>1354999.87</v>
      </c>
      <c r="I651" s="249">
        <f>H651/G651*100</f>
        <v>100</v>
      </c>
      <c r="J651" s="23"/>
    </row>
    <row r="652" spans="1:10" ht="21" customHeight="1" x14ac:dyDescent="0.3">
      <c r="A652" s="18" t="s">
        <v>53</v>
      </c>
      <c r="B652" s="84">
        <v>8230</v>
      </c>
      <c r="C652" s="20"/>
      <c r="D652" s="21"/>
      <c r="E652" s="22">
        <f>E653</f>
        <v>0</v>
      </c>
      <c r="F652" s="330">
        <f>F653</f>
        <v>1354999.87</v>
      </c>
      <c r="G652" s="330">
        <f>G653</f>
        <v>1354999.87</v>
      </c>
      <c r="H652" s="330">
        <f>H653</f>
        <v>1354999.87</v>
      </c>
      <c r="I652" s="249">
        <f>H652/G652*100</f>
        <v>100</v>
      </c>
      <c r="J652" s="22"/>
    </row>
    <row r="653" spans="1:10" ht="21.75" customHeight="1" x14ac:dyDescent="0.3">
      <c r="A653" s="18"/>
      <c r="B653" s="19"/>
      <c r="C653" s="19"/>
      <c r="D653" s="15" t="s">
        <v>13</v>
      </c>
      <c r="E653" s="16">
        <f>SUM(E654:E656)</f>
        <v>0</v>
      </c>
      <c r="F653" s="16">
        <f>SUM(F654:F656)</f>
        <v>1354999.87</v>
      </c>
      <c r="G653" s="16">
        <f>SUM(G654:G656)</f>
        <v>1354999.87</v>
      </c>
      <c r="H653" s="16">
        <f>SUM(H654:H656)</f>
        <v>1354999.87</v>
      </c>
      <c r="I653" s="237">
        <f>H653/G653*100</f>
        <v>100</v>
      </c>
      <c r="J653" s="16"/>
    </row>
    <row r="654" spans="1:10" ht="45.75" customHeight="1" x14ac:dyDescent="0.25">
      <c r="A654" s="238"/>
      <c r="B654" s="238"/>
      <c r="C654" s="239"/>
      <c r="D654" s="240" t="s">
        <v>233</v>
      </c>
      <c r="E654" s="72"/>
      <c r="F654" s="6">
        <f>1354999.87</f>
        <v>1354999.87</v>
      </c>
      <c r="G654" s="6">
        <f>1354999.87</f>
        <v>1354999.87</v>
      </c>
      <c r="H654" s="6">
        <f>1354999.87</f>
        <v>1354999.87</v>
      </c>
      <c r="I654" s="241">
        <f>H654/G654*100</f>
        <v>100</v>
      </c>
      <c r="J654" s="6"/>
    </row>
    <row r="655" spans="1:10" ht="42" customHeight="1" x14ac:dyDescent="0.25">
      <c r="A655" s="238"/>
      <c r="B655" s="238"/>
      <c r="C655" s="239"/>
      <c r="D655" s="331" t="s">
        <v>286</v>
      </c>
      <c r="E655" s="72"/>
      <c r="F655" s="6"/>
      <c r="G655" s="111"/>
      <c r="H655" s="6"/>
      <c r="I655" s="241"/>
      <c r="J655" s="6"/>
    </row>
    <row r="656" spans="1:10" ht="15" customHeight="1" x14ac:dyDescent="0.25">
      <c r="A656" s="238"/>
      <c r="B656" s="238"/>
      <c r="C656" s="239"/>
      <c r="D656" s="34"/>
      <c r="E656" s="72"/>
      <c r="F656" s="6"/>
      <c r="G656" s="111"/>
      <c r="H656" s="6"/>
      <c r="I656" s="241"/>
      <c r="J656" s="6"/>
    </row>
    <row r="657" spans="1:10" ht="21.75" hidden="1" customHeight="1" x14ac:dyDescent="0.3">
      <c r="A657" s="18" t="s">
        <v>56</v>
      </c>
      <c r="B657" s="84">
        <v>9800</v>
      </c>
      <c r="C657" s="20"/>
      <c r="D657" s="21"/>
      <c r="E657" s="22">
        <f>E658</f>
        <v>0</v>
      </c>
      <c r="F657" s="22">
        <f>F658</f>
        <v>0</v>
      </c>
      <c r="G657" s="22">
        <f>G658</f>
        <v>0</v>
      </c>
      <c r="H657" s="22" t="e">
        <f>H658</f>
        <v>#REF!</v>
      </c>
      <c r="I657" s="241" t="e">
        <f t="shared" ref="I657:I688" si="30">H657/G657*100</f>
        <v>#REF!</v>
      </c>
      <c r="J657" s="6"/>
    </row>
    <row r="658" spans="1:10" ht="19.5" hidden="1" customHeight="1" x14ac:dyDescent="0.3">
      <c r="A658" s="18"/>
      <c r="B658" s="19"/>
      <c r="C658" s="19"/>
      <c r="D658" s="15" t="s">
        <v>57</v>
      </c>
      <c r="E658" s="16">
        <f>SUM(E659:E660)</f>
        <v>0</v>
      </c>
      <c r="F658" s="16">
        <f>SUM(F659:F660)</f>
        <v>0</v>
      </c>
      <c r="G658" s="16">
        <f>SUM(G659:G660)</f>
        <v>0</v>
      </c>
      <c r="H658" s="16" t="e">
        <f>SUM(H659:H660)</f>
        <v>#REF!</v>
      </c>
      <c r="I658" s="241" t="e">
        <f t="shared" si="30"/>
        <v>#REF!</v>
      </c>
      <c r="J658" s="6"/>
    </row>
    <row r="659" spans="1:10" hidden="1" x14ac:dyDescent="0.25">
      <c r="A659" s="238"/>
      <c r="B659" s="238"/>
      <c r="C659" s="239"/>
      <c r="D659" s="9"/>
      <c r="E659" s="72"/>
      <c r="F659" s="6"/>
      <c r="G659" s="6"/>
      <c r="H659" s="6" t="e">
        <f>G659-#REF!</f>
        <v>#REF!</v>
      </c>
      <c r="I659" s="241" t="e">
        <f t="shared" si="30"/>
        <v>#REF!</v>
      </c>
      <c r="J659" s="6"/>
    </row>
    <row r="660" spans="1:10" hidden="1" x14ac:dyDescent="0.25">
      <c r="A660" s="238"/>
      <c r="B660" s="238"/>
      <c r="C660" s="239"/>
      <c r="D660" s="9"/>
      <c r="E660" s="72"/>
      <c r="F660" s="6"/>
      <c r="G660" s="6"/>
      <c r="H660" s="6" t="e">
        <f>G660-#REF!</f>
        <v>#REF!</v>
      </c>
      <c r="I660" s="241" t="e">
        <f t="shared" si="30"/>
        <v>#REF!</v>
      </c>
      <c r="J660" s="6"/>
    </row>
    <row r="661" spans="1:10" ht="11.25" hidden="1" customHeight="1" x14ac:dyDescent="0.25">
      <c r="A661" s="238"/>
      <c r="B661" s="238"/>
      <c r="C661" s="239"/>
      <c r="D661" s="34"/>
      <c r="E661" s="72"/>
      <c r="F661" s="6"/>
      <c r="G661" s="111"/>
      <c r="H661" s="6"/>
      <c r="I661" s="241" t="e">
        <f t="shared" si="30"/>
        <v>#DIV/0!</v>
      </c>
      <c r="J661" s="6"/>
    </row>
    <row r="662" spans="1:10" ht="22.5" hidden="1" x14ac:dyDescent="0.25">
      <c r="A662" s="176" t="s">
        <v>87</v>
      </c>
      <c r="B662" s="97"/>
      <c r="C662" s="164"/>
      <c r="D662" s="12" t="s">
        <v>88</v>
      </c>
      <c r="E662" s="242">
        <f>E663+E710+E826+E842+E856+E872+E876+E880</f>
        <v>0</v>
      </c>
      <c r="F662" s="243">
        <f>F670+F687+F693+F697+F710+F706</f>
        <v>0</v>
      </c>
      <c r="G662" s="243">
        <f>G670+G687+G693+G697+G710+G706</f>
        <v>0</v>
      </c>
      <c r="H662" s="243" t="e">
        <f>H670+H687+H693+H697+H710+H706</f>
        <v>#REF!</v>
      </c>
      <c r="I662" s="241" t="e">
        <f t="shared" si="30"/>
        <v>#REF!</v>
      </c>
      <c r="J662" s="6"/>
    </row>
    <row r="663" spans="1:10" ht="31.5" hidden="1" customHeight="1" x14ac:dyDescent="0.3">
      <c r="A663" s="125">
        <v>3110160</v>
      </c>
      <c r="B663" s="100" t="s">
        <v>61</v>
      </c>
      <c r="C663" s="125"/>
      <c r="D663" s="77"/>
      <c r="E663" s="19">
        <f>E664+E666</f>
        <v>0</v>
      </c>
      <c r="F663" s="126">
        <f>F664+F666</f>
        <v>0</v>
      </c>
      <c r="G663" s="126">
        <f>G664+G666</f>
        <v>0</v>
      </c>
      <c r="H663" s="126" t="e">
        <f>H664+H666</f>
        <v>#REF!</v>
      </c>
      <c r="I663" s="241" t="e">
        <f t="shared" si="30"/>
        <v>#REF!</v>
      </c>
      <c r="J663" s="6"/>
    </row>
    <row r="664" spans="1:10" ht="31.5" hidden="1" customHeight="1" x14ac:dyDescent="0.3">
      <c r="A664" s="125"/>
      <c r="B664" s="180"/>
      <c r="C664" s="125"/>
      <c r="D664" s="68" t="s">
        <v>13</v>
      </c>
      <c r="E664" s="69">
        <f>SUM(E665)</f>
        <v>0</v>
      </c>
      <c r="F664" s="45">
        <f>SUM(F665)</f>
        <v>0</v>
      </c>
      <c r="G664" s="45">
        <f>SUM(G665)</f>
        <v>0</v>
      </c>
      <c r="H664" s="45" t="e">
        <f>SUM(H665)</f>
        <v>#REF!</v>
      </c>
      <c r="I664" s="241" t="e">
        <f t="shared" si="30"/>
        <v>#REF!</v>
      </c>
      <c r="J664" s="6"/>
    </row>
    <row r="665" spans="1:10" ht="31.5" hidden="1" customHeight="1" x14ac:dyDescent="0.25">
      <c r="A665" s="109"/>
      <c r="B665" s="97"/>
      <c r="C665" s="125">
        <v>3110</v>
      </c>
      <c r="D665" s="9"/>
      <c r="E665" s="6"/>
      <c r="F665" s="5"/>
      <c r="G665" s="5"/>
      <c r="H665" s="6" t="e">
        <f>G665-#REF!</f>
        <v>#REF!</v>
      </c>
      <c r="I665" s="241" t="e">
        <f t="shared" si="30"/>
        <v>#REF!</v>
      </c>
      <c r="J665" s="6"/>
    </row>
    <row r="666" spans="1:10" ht="31.5" hidden="1" customHeight="1" x14ac:dyDescent="0.3">
      <c r="A666" s="109"/>
      <c r="B666" s="97"/>
      <c r="C666" s="125"/>
      <c r="D666" s="68" t="s">
        <v>15</v>
      </c>
      <c r="E666" s="45">
        <f>SUM(E667:E668)</f>
        <v>0</v>
      </c>
      <c r="F666" s="45">
        <f>SUM(F667:F668)</f>
        <v>0</v>
      </c>
      <c r="G666" s="45">
        <f>SUM(G667:G668)</f>
        <v>0</v>
      </c>
      <c r="H666" s="45" t="e">
        <f>SUM(H667:H668)</f>
        <v>#REF!</v>
      </c>
      <c r="I666" s="241" t="e">
        <f t="shared" si="30"/>
        <v>#REF!</v>
      </c>
      <c r="J666" s="6"/>
    </row>
    <row r="667" spans="1:10" ht="31.5" hidden="1" customHeight="1" x14ac:dyDescent="0.25">
      <c r="A667" s="109"/>
      <c r="B667" s="125"/>
      <c r="C667" s="125">
        <v>3132</v>
      </c>
      <c r="D667" s="130"/>
      <c r="E667" s="7"/>
      <c r="F667" s="6"/>
      <c r="G667" s="5"/>
      <c r="H667" s="6" t="e">
        <f>G667-#REF!</f>
        <v>#REF!</v>
      </c>
      <c r="I667" s="241" t="e">
        <f t="shared" si="30"/>
        <v>#REF!</v>
      </c>
      <c r="J667" s="6"/>
    </row>
    <row r="668" spans="1:10" ht="31.5" hidden="1" customHeight="1" x14ac:dyDescent="0.25">
      <c r="A668" s="109"/>
      <c r="B668" s="125"/>
      <c r="C668" s="125"/>
      <c r="D668" s="128"/>
      <c r="E668" s="7"/>
      <c r="F668" s="6"/>
      <c r="G668" s="5"/>
      <c r="H668" s="6" t="e">
        <f>G668-#REF!</f>
        <v>#REF!</v>
      </c>
      <c r="I668" s="241" t="e">
        <f t="shared" si="30"/>
        <v>#REF!</v>
      </c>
      <c r="J668" s="6"/>
    </row>
    <row r="669" spans="1:10" ht="31.5" hidden="1" customHeight="1" x14ac:dyDescent="0.25">
      <c r="A669" s="109"/>
      <c r="B669" s="125"/>
      <c r="C669" s="125"/>
      <c r="D669" s="128"/>
      <c r="E669" s="7"/>
      <c r="F669" s="6"/>
      <c r="G669" s="5"/>
      <c r="H669" s="6"/>
      <c r="I669" s="241" t="e">
        <f t="shared" si="30"/>
        <v>#DIV/0!</v>
      </c>
      <c r="J669" s="6"/>
    </row>
    <row r="670" spans="1:10" ht="21" hidden="1" customHeight="1" x14ac:dyDescent="0.25">
      <c r="A670" s="125">
        <v>3116030</v>
      </c>
      <c r="B670" s="125">
        <v>6030</v>
      </c>
      <c r="C670" s="125"/>
      <c r="D670" s="130"/>
      <c r="E670" s="126">
        <f>E672</f>
        <v>0</v>
      </c>
      <c r="F670" s="126">
        <f>SUM(F672:F686)</f>
        <v>0</v>
      </c>
      <c r="G670" s="126">
        <f>SUM(G672:G686)</f>
        <v>0</v>
      </c>
      <c r="H670" s="126" t="e">
        <f>SUM(H672:H686)</f>
        <v>#REF!</v>
      </c>
      <c r="I670" s="241" t="e">
        <f t="shared" si="30"/>
        <v>#REF!</v>
      </c>
      <c r="J670" s="6"/>
    </row>
    <row r="671" spans="1:10" ht="20.25" hidden="1" customHeight="1" x14ac:dyDescent="0.3">
      <c r="A671" s="125"/>
      <c r="B671" s="125"/>
      <c r="C671" s="125"/>
      <c r="D671" s="68" t="s">
        <v>15</v>
      </c>
      <c r="E671" s="126"/>
      <c r="F671" s="126">
        <f>SUM(F672:F685)</f>
        <v>0</v>
      </c>
      <c r="G671" s="126">
        <f>SUM(G672:G685)</f>
        <v>0</v>
      </c>
      <c r="H671" s="126" t="e">
        <f>SUM(H672:H685)</f>
        <v>#REF!</v>
      </c>
      <c r="I671" s="241" t="e">
        <f t="shared" si="30"/>
        <v>#REF!</v>
      </c>
      <c r="J671" s="6"/>
    </row>
    <row r="672" spans="1:10" ht="30.75" hidden="1" customHeight="1" x14ac:dyDescent="0.25">
      <c r="A672" s="109"/>
      <c r="B672" s="125"/>
      <c r="C672" s="125"/>
      <c r="D672" s="54"/>
      <c r="E672" s="7"/>
      <c r="F672" s="6"/>
      <c r="G672" s="6"/>
      <c r="H672" s="6" t="e">
        <f>G672-#REF!</f>
        <v>#REF!</v>
      </c>
      <c r="I672" s="241" t="e">
        <f t="shared" si="30"/>
        <v>#REF!</v>
      </c>
      <c r="J672" s="6"/>
    </row>
    <row r="673" spans="1:10" ht="36" hidden="1" customHeight="1" x14ac:dyDescent="0.25">
      <c r="A673" s="109"/>
      <c r="B673" s="125"/>
      <c r="C673" s="125"/>
      <c r="D673" s="8"/>
      <c r="E673" s="7"/>
      <c r="F673" s="5"/>
      <c r="G673" s="5"/>
      <c r="H673" s="6" t="e">
        <f>G673-#REF!</f>
        <v>#REF!</v>
      </c>
      <c r="I673" s="241" t="e">
        <f t="shared" si="30"/>
        <v>#REF!</v>
      </c>
      <c r="J673" s="6"/>
    </row>
    <row r="674" spans="1:10" hidden="1" x14ac:dyDescent="0.25">
      <c r="A674" s="109"/>
      <c r="B674" s="125"/>
      <c r="C674" s="125"/>
      <c r="D674" s="8"/>
      <c r="E674" s="7"/>
      <c r="F674" s="5"/>
      <c r="G674" s="5"/>
      <c r="H674" s="6" t="e">
        <f>G674-#REF!</f>
        <v>#REF!</v>
      </c>
      <c r="I674" s="241" t="e">
        <f t="shared" si="30"/>
        <v>#REF!</v>
      </c>
      <c r="J674" s="6"/>
    </row>
    <row r="675" spans="1:10" hidden="1" x14ac:dyDescent="0.25">
      <c r="A675" s="109"/>
      <c r="B675" s="125"/>
      <c r="C675" s="125"/>
      <c r="D675" s="8"/>
      <c r="E675" s="7"/>
      <c r="F675" s="5"/>
      <c r="G675" s="5"/>
      <c r="H675" s="6" t="e">
        <f>G675-#REF!</f>
        <v>#REF!</v>
      </c>
      <c r="I675" s="241" t="e">
        <f t="shared" si="30"/>
        <v>#REF!</v>
      </c>
      <c r="J675" s="6"/>
    </row>
    <row r="676" spans="1:10" ht="30.75" hidden="1" customHeight="1" x14ac:dyDescent="0.25">
      <c r="A676" s="109"/>
      <c r="B676" s="125"/>
      <c r="C676" s="125"/>
      <c r="D676" s="8"/>
      <c r="E676" s="7"/>
      <c r="F676" s="5"/>
      <c r="G676" s="5"/>
      <c r="H676" s="6" t="e">
        <f>G676-#REF!</f>
        <v>#REF!</v>
      </c>
      <c r="I676" s="241" t="e">
        <f t="shared" si="30"/>
        <v>#REF!</v>
      </c>
      <c r="J676" s="6"/>
    </row>
    <row r="677" spans="1:10" hidden="1" x14ac:dyDescent="0.25">
      <c r="A677" s="109"/>
      <c r="B677" s="125"/>
      <c r="C677" s="125"/>
      <c r="D677" s="8"/>
      <c r="E677" s="7"/>
      <c r="F677" s="5"/>
      <c r="G677" s="5"/>
      <c r="H677" s="6" t="e">
        <f>G677-#REF!</f>
        <v>#REF!</v>
      </c>
      <c r="I677" s="241" t="e">
        <f t="shared" si="30"/>
        <v>#REF!</v>
      </c>
      <c r="J677" s="6"/>
    </row>
    <row r="678" spans="1:10" hidden="1" x14ac:dyDescent="0.25">
      <c r="A678" s="109"/>
      <c r="B678" s="125"/>
      <c r="C678" s="125"/>
      <c r="D678" s="8"/>
      <c r="E678" s="7"/>
      <c r="F678" s="5"/>
      <c r="G678" s="5"/>
      <c r="H678" s="6" t="e">
        <f>G678-#REF!</f>
        <v>#REF!</v>
      </c>
      <c r="I678" s="241" t="e">
        <f t="shared" si="30"/>
        <v>#REF!</v>
      </c>
      <c r="J678" s="6"/>
    </row>
    <row r="679" spans="1:10" ht="36" hidden="1" customHeight="1" x14ac:dyDescent="0.25">
      <c r="A679" s="109"/>
      <c r="B679" s="125"/>
      <c r="C679" s="125"/>
      <c r="D679" s="8"/>
      <c r="E679" s="7"/>
      <c r="F679" s="5"/>
      <c r="G679" s="5"/>
      <c r="H679" s="6" t="e">
        <f>G679-#REF!</f>
        <v>#REF!</v>
      </c>
      <c r="I679" s="241" t="e">
        <f t="shared" si="30"/>
        <v>#REF!</v>
      </c>
      <c r="J679" s="6"/>
    </row>
    <row r="680" spans="1:10" hidden="1" x14ac:dyDescent="0.25">
      <c r="A680" s="109"/>
      <c r="B680" s="125"/>
      <c r="C680" s="125"/>
      <c r="D680" s="8"/>
      <c r="E680" s="7"/>
      <c r="F680" s="5"/>
      <c r="G680" s="5"/>
      <c r="H680" s="6" t="e">
        <f>G680-#REF!</f>
        <v>#REF!</v>
      </c>
      <c r="I680" s="241" t="e">
        <f t="shared" si="30"/>
        <v>#REF!</v>
      </c>
      <c r="J680" s="6"/>
    </row>
    <row r="681" spans="1:10" hidden="1" x14ac:dyDescent="0.25">
      <c r="A681" s="109"/>
      <c r="B681" s="125"/>
      <c r="C681" s="125"/>
      <c r="D681" s="8"/>
      <c r="E681" s="7"/>
      <c r="F681" s="5"/>
      <c r="G681" s="5"/>
      <c r="H681" s="6" t="e">
        <f>G681-#REF!</f>
        <v>#REF!</v>
      </c>
      <c r="I681" s="241" t="e">
        <f t="shared" si="30"/>
        <v>#REF!</v>
      </c>
      <c r="J681" s="6"/>
    </row>
    <row r="682" spans="1:10" hidden="1" x14ac:dyDescent="0.25">
      <c r="A682" s="109"/>
      <c r="B682" s="125"/>
      <c r="C682" s="125"/>
      <c r="D682" s="8"/>
      <c r="E682" s="7"/>
      <c r="F682" s="5"/>
      <c r="G682" s="5"/>
      <c r="H682" s="6" t="e">
        <f>G682-#REF!</f>
        <v>#REF!</v>
      </c>
      <c r="I682" s="241" t="e">
        <f t="shared" si="30"/>
        <v>#REF!</v>
      </c>
      <c r="J682" s="6"/>
    </row>
    <row r="683" spans="1:10" ht="32.25" hidden="1" customHeight="1" x14ac:dyDescent="0.25">
      <c r="A683" s="109"/>
      <c r="B683" s="125"/>
      <c r="C683" s="125"/>
      <c r="D683" s="8"/>
      <c r="E683" s="7"/>
      <c r="F683" s="5"/>
      <c r="G683" s="5"/>
      <c r="H683" s="6" t="e">
        <f>G683-#REF!</f>
        <v>#REF!</v>
      </c>
      <c r="I683" s="241" t="e">
        <f t="shared" si="30"/>
        <v>#REF!</v>
      </c>
      <c r="J683" s="6"/>
    </row>
    <row r="684" spans="1:10" ht="30" hidden="1" customHeight="1" x14ac:dyDescent="0.25">
      <c r="A684" s="109"/>
      <c r="B684" s="125"/>
      <c r="C684" s="125"/>
      <c r="D684" s="8"/>
      <c r="E684" s="7"/>
      <c r="F684" s="5"/>
      <c r="G684" s="5"/>
      <c r="H684" s="6" t="e">
        <f>G684-#REF!</f>
        <v>#REF!</v>
      </c>
      <c r="I684" s="241" t="e">
        <f t="shared" si="30"/>
        <v>#REF!</v>
      </c>
      <c r="J684" s="6"/>
    </row>
    <row r="685" spans="1:10" hidden="1" x14ac:dyDescent="0.25">
      <c r="A685" s="109"/>
      <c r="B685" s="125"/>
      <c r="C685" s="125"/>
      <c r="D685" s="8"/>
      <c r="E685" s="7"/>
      <c r="F685" s="5"/>
      <c r="G685" s="5"/>
      <c r="H685" s="6" t="e">
        <f>G685-#REF!</f>
        <v>#REF!</v>
      </c>
      <c r="I685" s="241" t="e">
        <f t="shared" si="30"/>
        <v>#REF!</v>
      </c>
      <c r="J685" s="6"/>
    </row>
    <row r="686" spans="1:10" ht="15" hidden="1" customHeight="1" x14ac:dyDescent="0.25">
      <c r="A686" s="109"/>
      <c r="B686" s="125"/>
      <c r="C686" s="125"/>
      <c r="D686" s="128"/>
      <c r="E686" s="7"/>
      <c r="F686" s="6"/>
      <c r="G686" s="5"/>
      <c r="H686" s="6"/>
      <c r="I686" s="241" t="e">
        <f t="shared" si="30"/>
        <v>#DIV/0!</v>
      </c>
      <c r="J686" s="6"/>
    </row>
    <row r="687" spans="1:10" ht="20.25" hidden="1" customHeight="1" x14ac:dyDescent="0.25">
      <c r="A687" s="125">
        <v>3117310</v>
      </c>
      <c r="B687" s="125">
        <v>7310</v>
      </c>
      <c r="C687" s="125"/>
      <c r="D687" s="130"/>
      <c r="E687" s="126">
        <f>E688</f>
        <v>0</v>
      </c>
      <c r="F687" s="126">
        <f>F688</f>
        <v>0</v>
      </c>
      <c r="G687" s="126">
        <f>G688</f>
        <v>0</v>
      </c>
      <c r="H687" s="126" t="e">
        <f>H688</f>
        <v>#REF!</v>
      </c>
      <c r="I687" s="241" t="e">
        <f t="shared" si="30"/>
        <v>#REF!</v>
      </c>
      <c r="J687" s="6"/>
    </row>
    <row r="688" spans="1:10" ht="21.75" hidden="1" customHeight="1" x14ac:dyDescent="0.3">
      <c r="A688" s="125"/>
      <c r="B688" s="125"/>
      <c r="C688" s="125"/>
      <c r="D688" s="68" t="s">
        <v>14</v>
      </c>
      <c r="E688" s="126"/>
      <c r="F688" s="126">
        <f>SUM(F689:F691)</f>
        <v>0</v>
      </c>
      <c r="G688" s="126">
        <f>SUM(G689:G691)</f>
        <v>0</v>
      </c>
      <c r="H688" s="126" t="e">
        <f>SUM(H689:H691)</f>
        <v>#REF!</v>
      </c>
      <c r="I688" s="241" t="e">
        <f t="shared" si="30"/>
        <v>#REF!</v>
      </c>
      <c r="J688" s="6"/>
    </row>
    <row r="689" spans="1:10" hidden="1" x14ac:dyDescent="0.25">
      <c r="A689" s="109"/>
      <c r="B689" s="125"/>
      <c r="C689" s="125"/>
      <c r="D689" s="93"/>
      <c r="E689" s="7"/>
      <c r="F689" s="6"/>
      <c r="G689" s="5"/>
      <c r="H689" s="6" t="e">
        <f>G689-#REF!</f>
        <v>#REF!</v>
      </c>
      <c r="I689" s="241" t="e">
        <f t="shared" ref="I689:I720" si="31">H689/G689*100</f>
        <v>#REF!</v>
      </c>
      <c r="J689" s="6"/>
    </row>
    <row r="690" spans="1:10" hidden="1" x14ac:dyDescent="0.25">
      <c r="A690" s="109"/>
      <c r="B690" s="125"/>
      <c r="C690" s="125"/>
      <c r="D690" s="85"/>
      <c r="E690" s="7"/>
      <c r="F690" s="6"/>
      <c r="G690" s="5"/>
      <c r="H690" s="6" t="e">
        <f>G690-#REF!</f>
        <v>#REF!</v>
      </c>
      <c r="I690" s="241" t="e">
        <f t="shared" si="31"/>
        <v>#REF!</v>
      </c>
      <c r="J690" s="6"/>
    </row>
    <row r="691" spans="1:10" hidden="1" x14ac:dyDescent="0.25">
      <c r="A691" s="109"/>
      <c r="B691" s="125"/>
      <c r="C691" s="125"/>
      <c r="D691" s="54"/>
      <c r="E691" s="7"/>
      <c r="F691" s="6"/>
      <c r="G691" s="6"/>
      <c r="H691" s="6" t="e">
        <f>G691-#REF!</f>
        <v>#REF!</v>
      </c>
      <c r="I691" s="241" t="e">
        <f t="shared" si="31"/>
        <v>#REF!</v>
      </c>
      <c r="J691" s="6"/>
    </row>
    <row r="692" spans="1:10" ht="17.25" hidden="1" customHeight="1" x14ac:dyDescent="0.25">
      <c r="A692" s="109"/>
      <c r="B692" s="125"/>
      <c r="C692" s="125"/>
      <c r="D692" s="128"/>
      <c r="E692" s="7"/>
      <c r="F692" s="6"/>
      <c r="G692" s="5"/>
      <c r="H692" s="6"/>
      <c r="I692" s="241" t="e">
        <f t="shared" si="31"/>
        <v>#DIV/0!</v>
      </c>
      <c r="J692" s="6"/>
    </row>
    <row r="693" spans="1:10" ht="17.25" hidden="1" customHeight="1" x14ac:dyDescent="0.25">
      <c r="A693" s="125">
        <v>3117325</v>
      </c>
      <c r="B693" s="125">
        <v>7325</v>
      </c>
      <c r="C693" s="125"/>
      <c r="D693" s="130"/>
      <c r="E693" s="126">
        <f>E694</f>
        <v>0</v>
      </c>
      <c r="F693" s="126">
        <f>F694</f>
        <v>0</v>
      </c>
      <c r="G693" s="126">
        <f>G694</f>
        <v>0</v>
      </c>
      <c r="H693" s="126" t="e">
        <f>H694</f>
        <v>#REF!</v>
      </c>
      <c r="I693" s="241" t="e">
        <f t="shared" si="31"/>
        <v>#REF!</v>
      </c>
      <c r="J693" s="6"/>
    </row>
    <row r="694" spans="1:10" ht="17.25" hidden="1" customHeight="1" x14ac:dyDescent="0.3">
      <c r="A694" s="125"/>
      <c r="B694" s="125"/>
      <c r="C694" s="125"/>
      <c r="D694" s="68" t="s">
        <v>14</v>
      </c>
      <c r="E694" s="126"/>
      <c r="F694" s="126">
        <f>SUM(F695)</f>
        <v>0</v>
      </c>
      <c r="G694" s="126">
        <f>SUM(G695)</f>
        <v>0</v>
      </c>
      <c r="H694" s="126" t="e">
        <f>SUM(H695)</f>
        <v>#REF!</v>
      </c>
      <c r="I694" s="241" t="e">
        <f t="shared" si="31"/>
        <v>#REF!</v>
      </c>
      <c r="J694" s="6"/>
    </row>
    <row r="695" spans="1:10" ht="46.5" hidden="1" customHeight="1" x14ac:dyDescent="0.25">
      <c r="A695" s="109"/>
      <c r="B695" s="125"/>
      <c r="C695" s="125"/>
      <c r="D695" s="9"/>
      <c r="E695" s="7"/>
      <c r="F695" s="6"/>
      <c r="G695" s="6"/>
      <c r="H695" s="6" t="e">
        <f>G695-#REF!</f>
        <v>#REF!</v>
      </c>
      <c r="I695" s="241" t="e">
        <f t="shared" si="31"/>
        <v>#REF!</v>
      </c>
      <c r="J695" s="6"/>
    </row>
    <row r="696" spans="1:10" ht="17.25" hidden="1" customHeight="1" x14ac:dyDescent="0.25">
      <c r="A696" s="109"/>
      <c r="B696" s="125"/>
      <c r="C696" s="125"/>
      <c r="D696" s="128"/>
      <c r="E696" s="7"/>
      <c r="F696" s="6"/>
      <c r="G696" s="5"/>
      <c r="H696" s="6"/>
      <c r="I696" s="241" t="e">
        <f t="shared" si="31"/>
        <v>#DIV/0!</v>
      </c>
      <c r="J696" s="6"/>
    </row>
    <row r="697" spans="1:10" ht="17.25" hidden="1" customHeight="1" x14ac:dyDescent="0.25">
      <c r="A697" s="100" t="s">
        <v>104</v>
      </c>
      <c r="B697" s="125">
        <v>7370</v>
      </c>
      <c r="C697" s="129"/>
      <c r="D697" s="130"/>
      <c r="E697" s="78">
        <f>E702+E723</f>
        <v>0</v>
      </c>
      <c r="F697" s="78">
        <f>F698+F702</f>
        <v>0</v>
      </c>
      <c r="G697" s="78">
        <f>G698+G702</f>
        <v>0</v>
      </c>
      <c r="H697" s="78" t="e">
        <f>H698+H702</f>
        <v>#REF!</v>
      </c>
      <c r="I697" s="241" t="e">
        <f t="shared" si="31"/>
        <v>#REF!</v>
      </c>
      <c r="J697" s="6"/>
    </row>
    <row r="698" spans="1:10" ht="17.25" hidden="1" customHeight="1" x14ac:dyDescent="0.3">
      <c r="A698" s="100"/>
      <c r="B698" s="125"/>
      <c r="C698" s="129"/>
      <c r="D698" s="68" t="s">
        <v>15</v>
      </c>
      <c r="E698" s="13">
        <f>SUM(E701:E711)</f>
        <v>0</v>
      </c>
      <c r="F698" s="13">
        <f>SUM(F699:F701)</f>
        <v>0</v>
      </c>
      <c r="G698" s="13">
        <f>SUM(G699:G701)</f>
        <v>0</v>
      </c>
      <c r="H698" s="13" t="e">
        <f>SUM(H699:H701)</f>
        <v>#REF!</v>
      </c>
      <c r="I698" s="241" t="e">
        <f t="shared" si="31"/>
        <v>#REF!</v>
      </c>
      <c r="J698" s="6"/>
    </row>
    <row r="699" spans="1:10" hidden="1" x14ac:dyDescent="0.25">
      <c r="A699" s="100"/>
      <c r="B699" s="125"/>
      <c r="C699" s="129"/>
      <c r="D699" s="93"/>
      <c r="E699" s="78"/>
      <c r="F699" s="74"/>
      <c r="G699" s="74"/>
      <c r="H699" s="74" t="e">
        <f>G699-#REF!</f>
        <v>#REF!</v>
      </c>
      <c r="I699" s="241" t="e">
        <f t="shared" si="31"/>
        <v>#REF!</v>
      </c>
      <c r="J699" s="6"/>
    </row>
    <row r="700" spans="1:10" hidden="1" x14ac:dyDescent="0.25">
      <c r="A700" s="100"/>
      <c r="B700" s="125"/>
      <c r="C700" s="129"/>
      <c r="D700" s="93"/>
      <c r="E700" s="78"/>
      <c r="F700" s="74"/>
      <c r="G700" s="74"/>
      <c r="H700" s="74" t="e">
        <f>G700-#REF!</f>
        <v>#REF!</v>
      </c>
      <c r="I700" s="241" t="e">
        <f t="shared" si="31"/>
        <v>#REF!</v>
      </c>
      <c r="J700" s="6"/>
    </row>
    <row r="701" spans="1:10" ht="17.25" hidden="1" customHeight="1" x14ac:dyDescent="0.25">
      <c r="A701" s="100"/>
      <c r="B701" s="125"/>
      <c r="C701" s="129"/>
      <c r="D701" s="130"/>
      <c r="E701" s="78"/>
      <c r="F701" s="78"/>
      <c r="G701" s="78"/>
      <c r="H701" s="78"/>
      <c r="I701" s="241" t="e">
        <f t="shared" si="31"/>
        <v>#DIV/0!</v>
      </c>
      <c r="J701" s="6"/>
    </row>
    <row r="702" spans="1:10" ht="17.25" hidden="1" customHeight="1" x14ac:dyDescent="0.3">
      <c r="A702" s="100"/>
      <c r="B702" s="125"/>
      <c r="C702" s="129"/>
      <c r="D702" s="68" t="s">
        <v>16</v>
      </c>
      <c r="E702" s="13">
        <f>SUM(E705:E716)</f>
        <v>0</v>
      </c>
      <c r="F702" s="13">
        <f>SUM(F703:F705)</f>
        <v>0</v>
      </c>
      <c r="G702" s="13">
        <f>SUM(G703:G705)</f>
        <v>0</v>
      </c>
      <c r="H702" s="13" t="e">
        <f>SUM(H703:H705)</f>
        <v>#REF!</v>
      </c>
      <c r="I702" s="241" t="e">
        <f t="shared" si="31"/>
        <v>#REF!</v>
      </c>
      <c r="J702" s="6"/>
    </row>
    <row r="703" spans="1:10" ht="36.75" hidden="1" customHeight="1" x14ac:dyDescent="0.25">
      <c r="A703" s="100"/>
      <c r="B703" s="154"/>
      <c r="C703" s="129"/>
      <c r="D703" s="85"/>
      <c r="E703" s="13"/>
      <c r="F703" s="74"/>
      <c r="G703" s="74"/>
      <c r="H703" s="74" t="e">
        <f>G703-#REF!</f>
        <v>#REF!</v>
      </c>
      <c r="I703" s="241" t="e">
        <f t="shared" si="31"/>
        <v>#REF!</v>
      </c>
      <c r="J703" s="6"/>
    </row>
    <row r="704" spans="1:10" hidden="1" x14ac:dyDescent="0.25">
      <c r="A704" s="100"/>
      <c r="B704" s="125"/>
      <c r="C704" s="129"/>
      <c r="D704" s="85"/>
      <c r="E704" s="13"/>
      <c r="F704" s="74"/>
      <c r="G704" s="74"/>
      <c r="H704" s="74" t="e">
        <f>G704-#REF!</f>
        <v>#REF!</v>
      </c>
      <c r="I704" s="241" t="e">
        <f t="shared" si="31"/>
        <v>#REF!</v>
      </c>
      <c r="J704" s="6"/>
    </row>
    <row r="705" spans="1:10" ht="17.25" hidden="1" customHeight="1" x14ac:dyDescent="0.25">
      <c r="A705" s="109"/>
      <c r="B705" s="125"/>
      <c r="C705" s="125"/>
      <c r="D705" s="128"/>
      <c r="E705" s="7"/>
      <c r="F705" s="6"/>
      <c r="G705" s="5"/>
      <c r="H705" s="6"/>
      <c r="I705" s="241" t="e">
        <f t="shared" si="31"/>
        <v>#DIV/0!</v>
      </c>
      <c r="J705" s="6"/>
    </row>
    <row r="706" spans="1:10" ht="17.25" hidden="1" customHeight="1" x14ac:dyDescent="0.25">
      <c r="A706" s="125">
        <v>3117670</v>
      </c>
      <c r="B706" s="124">
        <v>7670</v>
      </c>
      <c r="C706" s="125"/>
      <c r="D706" s="63"/>
      <c r="E706" s="219">
        <f>E707</f>
        <v>0</v>
      </c>
      <c r="F706" s="178">
        <f>F707</f>
        <v>0</v>
      </c>
      <c r="G706" s="178">
        <f>G707</f>
        <v>0</v>
      </c>
      <c r="H706" s="178" t="e">
        <f>H707</f>
        <v>#REF!</v>
      </c>
      <c r="I706" s="241" t="e">
        <f t="shared" si="31"/>
        <v>#REF!</v>
      </c>
      <c r="J706" s="6"/>
    </row>
    <row r="707" spans="1:10" ht="17.25" hidden="1" customHeight="1" x14ac:dyDescent="0.3">
      <c r="A707" s="155"/>
      <c r="B707" s="97"/>
      <c r="C707" s="125"/>
      <c r="D707" s="68" t="s">
        <v>22</v>
      </c>
      <c r="E707" s="171">
        <f>SUM(E708:E710)</f>
        <v>0</v>
      </c>
      <c r="F707" s="171">
        <f>SUM(F708:F708)</f>
        <v>0</v>
      </c>
      <c r="G707" s="171">
        <f>SUM(G708:G708)</f>
        <v>0</v>
      </c>
      <c r="H707" s="171" t="e">
        <f>SUM(H708:H708)</f>
        <v>#REF!</v>
      </c>
      <c r="I707" s="241" t="e">
        <f t="shared" si="31"/>
        <v>#REF!</v>
      </c>
      <c r="J707" s="6"/>
    </row>
    <row r="708" spans="1:10" ht="32.25" hidden="1" customHeight="1" x14ac:dyDescent="0.25">
      <c r="A708" s="109"/>
      <c r="B708" s="125"/>
      <c r="C708" s="125"/>
      <c r="D708" s="54"/>
      <c r="E708" s="7"/>
      <c r="F708" s="6"/>
      <c r="G708" s="5"/>
      <c r="H708" s="6" t="e">
        <f>G708-#REF!</f>
        <v>#REF!</v>
      </c>
      <c r="I708" s="241" t="e">
        <f t="shared" si="31"/>
        <v>#REF!</v>
      </c>
      <c r="J708" s="6"/>
    </row>
    <row r="709" spans="1:10" ht="17.25" hidden="1" customHeight="1" x14ac:dyDescent="0.25">
      <c r="A709" s="109"/>
      <c r="B709" s="125"/>
      <c r="C709" s="125"/>
      <c r="D709" s="128"/>
      <c r="E709" s="7"/>
      <c r="F709" s="6"/>
      <c r="G709" s="5"/>
      <c r="H709" s="6"/>
      <c r="I709" s="241" t="e">
        <f t="shared" si="31"/>
        <v>#DIV/0!</v>
      </c>
      <c r="J709" s="6"/>
    </row>
    <row r="710" spans="1:10" ht="24" hidden="1" customHeight="1" x14ac:dyDescent="0.25">
      <c r="A710" s="125">
        <v>3118311</v>
      </c>
      <c r="B710" s="125">
        <v>8311</v>
      </c>
      <c r="C710" s="125"/>
      <c r="D710" s="130"/>
      <c r="E710" s="126">
        <f>E711</f>
        <v>0</v>
      </c>
      <c r="F710" s="126">
        <f>F711+F714</f>
        <v>0</v>
      </c>
      <c r="G710" s="126">
        <f>G711+G714</f>
        <v>0</v>
      </c>
      <c r="H710" s="126" t="e">
        <f>H711+H714</f>
        <v>#REF!</v>
      </c>
      <c r="I710" s="241" t="e">
        <f t="shared" si="31"/>
        <v>#REF!</v>
      </c>
      <c r="J710" s="6"/>
    </row>
    <row r="711" spans="1:10" ht="19.5" hidden="1" customHeight="1" x14ac:dyDescent="0.3">
      <c r="A711" s="125"/>
      <c r="B711" s="125"/>
      <c r="C711" s="125"/>
      <c r="D711" s="68" t="s">
        <v>14</v>
      </c>
      <c r="E711" s="126"/>
      <c r="F711" s="126">
        <f>SUM(F712)</f>
        <v>0</v>
      </c>
      <c r="G711" s="126">
        <f>SUM(G712)</f>
        <v>0</v>
      </c>
      <c r="H711" s="126" t="e">
        <f>SUM(H712)</f>
        <v>#REF!</v>
      </c>
      <c r="I711" s="241" t="e">
        <f t="shared" si="31"/>
        <v>#REF!</v>
      </c>
      <c r="J711" s="6"/>
    </row>
    <row r="712" spans="1:10" hidden="1" x14ac:dyDescent="0.25">
      <c r="A712" s="125"/>
      <c r="B712" s="125"/>
      <c r="C712" s="125"/>
      <c r="D712" s="85"/>
      <c r="E712" s="74"/>
      <c r="F712" s="74"/>
      <c r="G712" s="74"/>
      <c r="H712" s="190" t="e">
        <f>G712-#REF!</f>
        <v>#REF!</v>
      </c>
      <c r="I712" s="241" t="e">
        <f t="shared" si="31"/>
        <v>#REF!</v>
      </c>
      <c r="J712" s="6"/>
    </row>
    <row r="713" spans="1:10" ht="14.25" hidden="1" customHeight="1" x14ac:dyDescent="0.25">
      <c r="A713" s="125"/>
      <c r="B713" s="125"/>
      <c r="C713" s="125"/>
      <c r="D713" s="54"/>
      <c r="E713" s="6"/>
      <c r="F713" s="6"/>
      <c r="G713" s="6"/>
      <c r="H713" s="190" t="e">
        <f>G713-#REF!</f>
        <v>#REF!</v>
      </c>
      <c r="I713" s="241" t="e">
        <f t="shared" si="31"/>
        <v>#REF!</v>
      </c>
      <c r="J713" s="6"/>
    </row>
    <row r="714" spans="1:10" ht="18" hidden="1" customHeight="1" x14ac:dyDescent="0.25">
      <c r="A714" s="125"/>
      <c r="B714" s="125"/>
      <c r="C714" s="125"/>
      <c r="D714" s="244" t="s">
        <v>16</v>
      </c>
      <c r="E714" s="45"/>
      <c r="F714" s="45">
        <f>SUM(F715)</f>
        <v>0</v>
      </c>
      <c r="G714" s="45">
        <f>SUM(G715)</f>
        <v>0</v>
      </c>
      <c r="H714" s="45" t="e">
        <f>SUM(H715)</f>
        <v>#REF!</v>
      </c>
      <c r="I714" s="241" t="e">
        <f t="shared" si="31"/>
        <v>#REF!</v>
      </c>
      <c r="J714" s="6"/>
    </row>
    <row r="715" spans="1:10" hidden="1" x14ac:dyDescent="0.25">
      <c r="A715" s="125"/>
      <c r="B715" s="125"/>
      <c r="C715" s="125"/>
      <c r="D715" s="85"/>
      <c r="E715" s="6"/>
      <c r="F715" s="6"/>
      <c r="G715" s="6"/>
      <c r="H715" s="190" t="e">
        <f>G715-#REF!</f>
        <v>#REF!</v>
      </c>
      <c r="I715" s="241" t="e">
        <f t="shared" si="31"/>
        <v>#REF!</v>
      </c>
      <c r="J715" s="6"/>
    </row>
    <row r="716" spans="1:10" ht="16.5" hidden="1" customHeight="1" x14ac:dyDescent="0.25">
      <c r="A716" s="245"/>
      <c r="B716" s="246"/>
      <c r="C716" s="247"/>
      <c r="D716" s="54"/>
      <c r="E716" s="6"/>
      <c r="F716" s="6"/>
      <c r="G716" s="6"/>
      <c r="H716" s="190" t="e">
        <f>G716-#REF!</f>
        <v>#REF!</v>
      </c>
      <c r="I716" s="241" t="e">
        <f t="shared" si="31"/>
        <v>#REF!</v>
      </c>
      <c r="J716" s="6"/>
    </row>
    <row r="717" spans="1:10" ht="25.5" customHeight="1" x14ac:dyDescent="0.35">
      <c r="A717" s="220">
        <v>3710000</v>
      </c>
      <c r="B717" s="221"/>
      <c r="C717" s="222"/>
      <c r="D717" s="121" t="s">
        <v>106</v>
      </c>
      <c r="E717" s="122">
        <f>E718+E721</f>
        <v>0</v>
      </c>
      <c r="F717" s="170">
        <f>F718+F721</f>
        <v>400000</v>
      </c>
      <c r="G717" s="170">
        <f>G718+G721</f>
        <v>400000</v>
      </c>
      <c r="H717" s="170">
        <f>H718+H721</f>
        <v>400000</v>
      </c>
      <c r="I717" s="237">
        <f t="shared" si="31"/>
        <v>100</v>
      </c>
      <c r="J717" s="6"/>
    </row>
    <row r="718" spans="1:10" ht="24.75" customHeight="1" x14ac:dyDescent="0.3">
      <c r="A718" s="125">
        <v>3719770</v>
      </c>
      <c r="B718" s="100">
        <v>9770</v>
      </c>
      <c r="C718" s="125"/>
      <c r="D718" s="68" t="s">
        <v>57</v>
      </c>
      <c r="E718" s="69">
        <f>E720</f>
        <v>0</v>
      </c>
      <c r="F718" s="45">
        <f>F719</f>
        <v>400000</v>
      </c>
      <c r="G718" s="45">
        <f>G719</f>
        <v>400000</v>
      </c>
      <c r="H718" s="45">
        <f>H719</f>
        <v>400000</v>
      </c>
      <c r="I718" s="237">
        <f t="shared" si="31"/>
        <v>100</v>
      </c>
      <c r="J718" s="6"/>
    </row>
    <row r="719" spans="1:10" ht="24.75" customHeight="1" x14ac:dyDescent="0.25">
      <c r="A719" s="125"/>
      <c r="B719" s="100"/>
      <c r="C719" s="125"/>
      <c r="D719" s="248" t="s">
        <v>231</v>
      </c>
      <c r="E719" s="69"/>
      <c r="F719" s="45">
        <f>SUM(F720)</f>
        <v>400000</v>
      </c>
      <c r="G719" s="45">
        <f>SUM(G720)</f>
        <v>400000</v>
      </c>
      <c r="H719" s="45">
        <f>SUM(H720)</f>
        <v>400000</v>
      </c>
      <c r="I719" s="237">
        <f t="shared" si="31"/>
        <v>100</v>
      </c>
      <c r="J719" s="6"/>
    </row>
    <row r="720" spans="1:10" ht="137.25" customHeight="1" x14ac:dyDescent="0.25">
      <c r="A720" s="109"/>
      <c r="B720" s="223"/>
      <c r="C720" s="129"/>
      <c r="D720" s="188" t="s">
        <v>232</v>
      </c>
      <c r="E720" s="218"/>
      <c r="F720" s="193">
        <f>400000</f>
        <v>400000</v>
      </c>
      <c r="G720" s="6">
        <f>400000</f>
        <v>400000</v>
      </c>
      <c r="H720" s="6">
        <f>400000</f>
        <v>400000</v>
      </c>
      <c r="I720" s="241">
        <f t="shared" si="31"/>
        <v>100</v>
      </c>
      <c r="J720" s="6"/>
    </row>
    <row r="721" spans="1:10" ht="16.5" customHeight="1" x14ac:dyDescent="0.25">
      <c r="A721" s="245"/>
      <c r="B721" s="246"/>
      <c r="C721" s="247"/>
      <c r="D721" s="54"/>
      <c r="E721" s="6"/>
      <c r="F721" s="6"/>
      <c r="G721" s="6"/>
      <c r="H721" s="190"/>
      <c r="I721" s="241"/>
      <c r="J721" s="190"/>
    </row>
    <row r="722" spans="1:10" ht="38.25" customHeight="1" x14ac:dyDescent="0.25">
      <c r="A722" s="225"/>
      <c r="B722" s="126"/>
      <c r="C722" s="333" t="s">
        <v>204</v>
      </c>
      <c r="D722" s="334"/>
      <c r="E722" s="126">
        <f>E662</f>
        <v>0</v>
      </c>
      <c r="F722" s="126">
        <f>F651+F662+F717</f>
        <v>1754999.87</v>
      </c>
      <c r="G722" s="126">
        <f>G651+G662+G717</f>
        <v>1754999.87</v>
      </c>
      <c r="H722" s="126">
        <f>H651+H717</f>
        <v>1754999.87</v>
      </c>
      <c r="I722" s="249">
        <f>H722/G722*100</f>
        <v>100</v>
      </c>
      <c r="J722" s="126"/>
    </row>
    <row r="723" spans="1:10" ht="33" customHeight="1" x14ac:dyDescent="0.3">
      <c r="A723" s="230"/>
      <c r="B723" s="231"/>
      <c r="C723" s="232"/>
      <c r="D723" s="233"/>
      <c r="E723" s="232"/>
      <c r="F723" s="232"/>
      <c r="G723" s="232"/>
      <c r="H723" s="232"/>
      <c r="I723" s="232"/>
      <c r="J723" s="232"/>
    </row>
    <row r="724" spans="1:10" ht="31.5" hidden="1" customHeight="1" x14ac:dyDescent="0.3">
      <c r="A724" s="230"/>
      <c r="B724" s="250" t="s">
        <v>111</v>
      </c>
      <c r="C724" s="250"/>
      <c r="D724" s="251"/>
      <c r="E724" s="250"/>
      <c r="F724" s="252"/>
      <c r="G724" s="250"/>
      <c r="H724" s="250"/>
      <c r="I724" s="253"/>
      <c r="J724" s="253"/>
    </row>
    <row r="725" spans="1:10" ht="21.75" hidden="1" customHeight="1" x14ac:dyDescent="0.3">
      <c r="A725" s="230"/>
      <c r="B725" s="231"/>
      <c r="C725" s="232"/>
      <c r="D725" s="351" t="s">
        <v>112</v>
      </c>
      <c r="E725" s="351"/>
      <c r="F725" s="351"/>
      <c r="G725" s="351"/>
      <c r="H725" s="351"/>
      <c r="I725" s="253"/>
      <c r="J725" s="253"/>
    </row>
    <row r="726" spans="1:10" ht="15.75" hidden="1" customHeight="1" x14ac:dyDescent="0.3">
      <c r="A726" s="230"/>
      <c r="B726" s="231"/>
      <c r="C726" s="232"/>
      <c r="D726" s="233"/>
      <c r="E726" s="232"/>
      <c r="F726" s="236"/>
      <c r="G726" s="232"/>
      <c r="H726" s="232"/>
      <c r="I726" s="253"/>
      <c r="J726" s="253"/>
    </row>
    <row r="727" spans="1:10" ht="31.5" hidden="1" customHeight="1" x14ac:dyDescent="0.25">
      <c r="A727" s="352" t="s">
        <v>3</v>
      </c>
      <c r="B727" s="352" t="s">
        <v>4</v>
      </c>
      <c r="C727" s="352" t="s">
        <v>5</v>
      </c>
      <c r="D727" s="354" t="s">
        <v>6</v>
      </c>
      <c r="E727" s="356" t="s">
        <v>152</v>
      </c>
      <c r="F727" s="344" t="s">
        <v>153</v>
      </c>
      <c r="G727" s="344" t="s">
        <v>154</v>
      </c>
      <c r="H727" s="346" t="s">
        <v>7</v>
      </c>
      <c r="I727" s="347"/>
      <c r="J727" s="36"/>
    </row>
    <row r="728" spans="1:10" ht="99.75" hidden="1" customHeight="1" x14ac:dyDescent="0.25">
      <c r="A728" s="353"/>
      <c r="B728" s="353"/>
      <c r="C728" s="353"/>
      <c r="D728" s="355"/>
      <c r="E728" s="357"/>
      <c r="F728" s="345"/>
      <c r="G728" s="345"/>
      <c r="H728" s="255" t="s">
        <v>155</v>
      </c>
      <c r="I728" s="36" t="s">
        <v>8</v>
      </c>
      <c r="J728" s="36"/>
    </row>
    <row r="729" spans="1:10" ht="24" hidden="1" customHeight="1" x14ac:dyDescent="0.25">
      <c r="A729" s="37" t="s">
        <v>9</v>
      </c>
      <c r="B729" s="38"/>
      <c r="C729" s="38"/>
      <c r="D729" s="39" t="s">
        <v>10</v>
      </c>
      <c r="E729" s="23"/>
      <c r="F729" s="23">
        <f>F730+F734+F738</f>
        <v>0</v>
      </c>
      <c r="G729" s="23">
        <f>G730+G734+G738</f>
        <v>0</v>
      </c>
      <c r="H729" s="23" t="e">
        <f>H730+H734+H738</f>
        <v>#REF!</v>
      </c>
      <c r="I729" s="23" t="e">
        <f>I730+I734+I738</f>
        <v>#REF!</v>
      </c>
      <c r="J729" s="23"/>
    </row>
    <row r="730" spans="1:10" ht="18" hidden="1" customHeight="1" x14ac:dyDescent="0.3">
      <c r="A730" s="18" t="s">
        <v>20</v>
      </c>
      <c r="B730" s="18">
        <v>2010</v>
      </c>
      <c r="C730" s="20"/>
      <c r="D730" s="21"/>
      <c r="E730" s="22"/>
      <c r="F730" s="22">
        <f>F731</f>
        <v>0</v>
      </c>
      <c r="G730" s="22">
        <f>G731</f>
        <v>0</v>
      </c>
      <c r="H730" s="22" t="e">
        <f>H731</f>
        <v>#REF!</v>
      </c>
      <c r="I730" s="22" t="e">
        <f>I731</f>
        <v>#REF!</v>
      </c>
      <c r="J730" s="22"/>
    </row>
    <row r="731" spans="1:10" ht="21.75" hidden="1" customHeight="1" x14ac:dyDescent="0.3">
      <c r="A731" s="18"/>
      <c r="B731" s="19"/>
      <c r="C731" s="19"/>
      <c r="D731" s="15" t="s">
        <v>22</v>
      </c>
      <c r="E731" s="16"/>
      <c r="F731" s="16">
        <f>SUM(F732)</f>
        <v>0</v>
      </c>
      <c r="G731" s="16">
        <f>SUM(G732)</f>
        <v>0</v>
      </c>
      <c r="H731" s="16" t="e">
        <f>SUM(H732)</f>
        <v>#REF!</v>
      </c>
      <c r="I731" s="16" t="e">
        <f>SUM(I732)</f>
        <v>#REF!</v>
      </c>
      <c r="J731" s="16"/>
    </row>
    <row r="732" spans="1:10" ht="51" hidden="1" customHeight="1" x14ac:dyDescent="0.25">
      <c r="A732" s="245"/>
      <c r="B732" s="245"/>
      <c r="C732" s="256"/>
      <c r="D732" s="53"/>
      <c r="E732" s="72"/>
      <c r="F732" s="7"/>
      <c r="G732" s="111"/>
      <c r="H732" s="6" t="e">
        <f>G732-#REF!</f>
        <v>#REF!</v>
      </c>
      <c r="I732" s="6" t="e">
        <f>F732-#REF!</f>
        <v>#REF!</v>
      </c>
      <c r="J732" s="6"/>
    </row>
    <row r="733" spans="1:10" ht="12" hidden="1" customHeight="1" x14ac:dyDescent="0.25">
      <c r="A733" s="245"/>
      <c r="B733" s="245"/>
      <c r="C733" s="256"/>
      <c r="D733" s="34"/>
      <c r="E733" s="254"/>
      <c r="F733" s="35"/>
      <c r="G733" s="257"/>
      <c r="H733" s="255"/>
      <c r="I733" s="36"/>
      <c r="J733" s="36"/>
    </row>
    <row r="734" spans="1:10" ht="17.25" hidden="1" customHeight="1" x14ac:dyDescent="0.25">
      <c r="A734" s="18" t="s">
        <v>42</v>
      </c>
      <c r="B734" s="100">
        <v>7325</v>
      </c>
      <c r="C734" s="62"/>
      <c r="D734" s="85"/>
      <c r="E734" s="10">
        <f t="shared" ref="E734:G735" si="32">E735</f>
        <v>0</v>
      </c>
      <c r="F734" s="10">
        <f t="shared" si="32"/>
        <v>0</v>
      </c>
      <c r="G734" s="10">
        <f t="shared" si="32"/>
        <v>0</v>
      </c>
      <c r="H734" s="45" t="e">
        <f>G734-#REF!</f>
        <v>#REF!</v>
      </c>
      <c r="I734" s="45" t="e">
        <f>F734-#REF!</f>
        <v>#REF!</v>
      </c>
      <c r="J734" s="45"/>
    </row>
    <row r="735" spans="1:10" ht="17.25" hidden="1" customHeight="1" x14ac:dyDescent="0.25">
      <c r="A735" s="49"/>
      <c r="B735" s="19"/>
      <c r="C735" s="62"/>
      <c r="D735" s="12" t="s">
        <v>14</v>
      </c>
      <c r="E735" s="10">
        <f t="shared" si="32"/>
        <v>0</v>
      </c>
      <c r="F735" s="10">
        <f t="shared" si="32"/>
        <v>0</v>
      </c>
      <c r="G735" s="10">
        <f t="shared" si="32"/>
        <v>0</v>
      </c>
      <c r="H735" s="45" t="e">
        <f>G735-#REF!</f>
        <v>#REF!</v>
      </c>
      <c r="I735" s="45" t="e">
        <f>F735-#REF!</f>
        <v>#REF!</v>
      </c>
      <c r="J735" s="45"/>
    </row>
    <row r="736" spans="1:10" ht="51" hidden="1" customHeight="1" x14ac:dyDescent="0.25">
      <c r="A736" s="245"/>
      <c r="B736" s="245"/>
      <c r="C736" s="239"/>
      <c r="D736" s="9"/>
      <c r="E736" s="254"/>
      <c r="F736" s="7"/>
      <c r="G736" s="111"/>
      <c r="H736" s="6" t="e">
        <f>G736-#REF!</f>
        <v>#REF!</v>
      </c>
      <c r="I736" s="6" t="e">
        <f>F736-#REF!</f>
        <v>#REF!</v>
      </c>
      <c r="J736" s="6"/>
    </row>
    <row r="737" spans="1:10" ht="14.25" hidden="1" customHeight="1" x14ac:dyDescent="0.25">
      <c r="A737" s="245"/>
      <c r="B737" s="245"/>
      <c r="C737" s="239"/>
      <c r="D737" s="34"/>
      <c r="E737" s="254"/>
      <c r="F737" s="35"/>
      <c r="G737" s="257"/>
      <c r="H737" s="255"/>
      <c r="I737" s="36"/>
      <c r="J737" s="36"/>
    </row>
    <row r="738" spans="1:10" ht="24" hidden="1" customHeight="1" x14ac:dyDescent="0.25">
      <c r="A738" s="18" t="s">
        <v>54</v>
      </c>
      <c r="B738" s="100">
        <v>8240</v>
      </c>
      <c r="C738" s="62"/>
      <c r="D738" s="85"/>
      <c r="E738" s="10">
        <f t="shared" ref="E738:G739" si="33">E739</f>
        <v>0</v>
      </c>
      <c r="F738" s="10">
        <f t="shared" si="33"/>
        <v>0</v>
      </c>
      <c r="G738" s="10">
        <f t="shared" si="33"/>
        <v>0</v>
      </c>
      <c r="H738" s="45" t="e">
        <f>G738-#REF!</f>
        <v>#REF!</v>
      </c>
      <c r="I738" s="45" t="e">
        <f>F738-#REF!</f>
        <v>#REF!</v>
      </c>
      <c r="J738" s="45"/>
    </row>
    <row r="739" spans="1:10" ht="24" hidden="1" customHeight="1" x14ac:dyDescent="0.25">
      <c r="A739" s="49"/>
      <c r="B739" s="19"/>
      <c r="C739" s="62"/>
      <c r="D739" s="12" t="s">
        <v>13</v>
      </c>
      <c r="E739" s="10">
        <f t="shared" si="33"/>
        <v>0</v>
      </c>
      <c r="F739" s="10">
        <f t="shared" si="33"/>
        <v>0</v>
      </c>
      <c r="G739" s="10">
        <f t="shared" si="33"/>
        <v>0</v>
      </c>
      <c r="H739" s="45" t="e">
        <f>G739-#REF!</f>
        <v>#REF!</v>
      </c>
      <c r="I739" s="45" t="e">
        <f>F739-#REF!</f>
        <v>#REF!</v>
      </c>
      <c r="J739" s="45"/>
    </row>
    <row r="740" spans="1:10" hidden="1" x14ac:dyDescent="0.25">
      <c r="A740" s="49"/>
      <c r="B740" s="19"/>
      <c r="C740" s="62"/>
      <c r="D740" s="53"/>
      <c r="E740" s="6"/>
      <c r="F740" s="6"/>
      <c r="G740" s="5"/>
      <c r="H740" s="6" t="e">
        <f>G740-#REF!</f>
        <v>#REF!</v>
      </c>
      <c r="I740" s="6" t="e">
        <f>F740-#REF!</f>
        <v>#REF!</v>
      </c>
      <c r="J740" s="6"/>
    </row>
    <row r="741" spans="1:10" ht="12.75" hidden="1" customHeight="1" x14ac:dyDescent="0.25">
      <c r="A741" s="258"/>
      <c r="B741" s="19"/>
      <c r="C741" s="259"/>
      <c r="D741" s="53"/>
      <c r="E741" s="6"/>
      <c r="F741" s="6"/>
      <c r="G741" s="5"/>
      <c r="H741" s="6"/>
      <c r="I741" s="6"/>
      <c r="J741" s="6"/>
    </row>
    <row r="742" spans="1:10" ht="24.75" hidden="1" customHeight="1" x14ac:dyDescent="0.25">
      <c r="A742" s="119" t="s">
        <v>58</v>
      </c>
      <c r="B742" s="97"/>
      <c r="C742" s="120"/>
      <c r="D742" s="121" t="s">
        <v>59</v>
      </c>
      <c r="E742" s="122">
        <f>E743+E746</f>
        <v>0</v>
      </c>
      <c r="F742" s="122">
        <f>F743+F746</f>
        <v>0</v>
      </c>
      <c r="G742" s="170">
        <f>G743+G746</f>
        <v>0</v>
      </c>
      <c r="H742" s="170" t="e">
        <f>H743+H746</f>
        <v>#REF!</v>
      </c>
      <c r="I742" s="122" t="e">
        <f>I743+I746</f>
        <v>#REF!</v>
      </c>
      <c r="J742" s="122"/>
    </row>
    <row r="743" spans="1:10" ht="31.5" hidden="1" customHeight="1" x14ac:dyDescent="0.25">
      <c r="A743" s="123" t="s">
        <v>62</v>
      </c>
      <c r="B743" s="123" t="s">
        <v>63</v>
      </c>
      <c r="C743" s="129"/>
      <c r="D743" s="12" t="s">
        <v>15</v>
      </c>
      <c r="E743" s="131">
        <f>E744+E746</f>
        <v>0</v>
      </c>
      <c r="F743" s="260">
        <f>F744</f>
        <v>0</v>
      </c>
      <c r="G743" s="131">
        <f>G744</f>
        <v>0</v>
      </c>
      <c r="H743" s="131" t="e">
        <f>H744</f>
        <v>#REF!</v>
      </c>
      <c r="I743" s="131" t="e">
        <f>I744</f>
        <v>#REF!</v>
      </c>
      <c r="J743" s="131"/>
    </row>
    <row r="744" spans="1:10" ht="31.5" hidden="1" customHeight="1" x14ac:dyDescent="0.25">
      <c r="A744" s="3"/>
      <c r="B744" s="3"/>
      <c r="C744" s="3"/>
      <c r="D744" s="9"/>
      <c r="E744" s="144"/>
      <c r="F744" s="7"/>
      <c r="G744" s="6"/>
      <c r="H744" s="6" t="e">
        <f>G744-#REF!</f>
        <v>#REF!</v>
      </c>
      <c r="I744" s="74" t="e">
        <f>F744-#REF!</f>
        <v>#REF!</v>
      </c>
      <c r="J744" s="74"/>
    </row>
    <row r="745" spans="1:10" ht="31.5" hidden="1" customHeight="1" x14ac:dyDescent="0.25">
      <c r="A745" s="3"/>
      <c r="B745" s="3"/>
      <c r="C745" s="3"/>
      <c r="D745" s="54"/>
      <c r="E745" s="144"/>
      <c r="F745" s="7"/>
      <c r="G745" s="170"/>
      <c r="H745" s="170"/>
      <c r="I745" s="261"/>
      <c r="J745" s="261"/>
    </row>
    <row r="746" spans="1:10" ht="21" hidden="1" customHeight="1" x14ac:dyDescent="0.25">
      <c r="A746" s="150" t="s">
        <v>64</v>
      </c>
      <c r="B746" s="123">
        <v>1021</v>
      </c>
      <c r="C746" s="129"/>
      <c r="D746" s="12" t="s">
        <v>13</v>
      </c>
      <c r="E746" s="131">
        <f>E747+E828</f>
        <v>0</v>
      </c>
      <c r="F746" s="260">
        <f>F747</f>
        <v>0</v>
      </c>
      <c r="G746" s="131">
        <f>G747</f>
        <v>0</v>
      </c>
      <c r="H746" s="131" t="e">
        <f>H747</f>
        <v>#REF!</v>
      </c>
      <c r="I746" s="131" t="e">
        <f>I747</f>
        <v>#REF!</v>
      </c>
      <c r="J746" s="131"/>
    </row>
    <row r="747" spans="1:10" ht="27" hidden="1" customHeight="1" x14ac:dyDescent="0.25">
      <c r="A747" s="3"/>
      <c r="B747" s="3"/>
      <c r="C747" s="3"/>
      <c r="D747" s="85"/>
      <c r="E747" s="144"/>
      <c r="F747" s="7"/>
      <c r="G747" s="6"/>
      <c r="H747" s="6" t="e">
        <f>G747-#REF!</f>
        <v>#REF!</v>
      </c>
      <c r="I747" s="74" t="e">
        <f>F747-#REF!</f>
        <v>#REF!</v>
      </c>
      <c r="J747" s="74"/>
    </row>
    <row r="748" spans="1:10" ht="22.5" hidden="1" x14ac:dyDescent="0.25">
      <c r="A748" s="176" t="s">
        <v>87</v>
      </c>
      <c r="B748" s="97"/>
      <c r="C748" s="164"/>
      <c r="D748" s="12" t="s">
        <v>88</v>
      </c>
      <c r="E748" s="242">
        <f>E749+E796+E867+E885+E899+E916+E920+E924</f>
        <v>0</v>
      </c>
      <c r="F748" s="243">
        <f>F756+F787+F796+F791</f>
        <v>0</v>
      </c>
      <c r="G748" s="243">
        <f>G756+G787+G796+G791</f>
        <v>0</v>
      </c>
      <c r="H748" s="243" t="e">
        <f>H756+H787+H796+H791</f>
        <v>#REF!</v>
      </c>
      <c r="I748" s="243" t="e">
        <f>I756+I787+I796+I791</f>
        <v>#REF!</v>
      </c>
      <c r="J748" s="243"/>
    </row>
    <row r="749" spans="1:10" ht="21.75" hidden="1" customHeight="1" x14ac:dyDescent="0.3">
      <c r="A749" s="125">
        <v>3110160</v>
      </c>
      <c r="B749" s="100" t="s">
        <v>61</v>
      </c>
      <c r="C749" s="125"/>
      <c r="D749" s="77"/>
      <c r="E749" s="19">
        <f>E750+E752</f>
        <v>0</v>
      </c>
      <c r="F749" s="126">
        <f>F750+F752</f>
        <v>0</v>
      </c>
      <c r="G749" s="126">
        <f>G750+G752</f>
        <v>0</v>
      </c>
      <c r="H749" s="126" t="e">
        <f>H750+H752</f>
        <v>#REF!</v>
      </c>
      <c r="I749" s="19" t="e">
        <f>I750+I752</f>
        <v>#REF!</v>
      </c>
      <c r="J749" s="19"/>
    </row>
    <row r="750" spans="1:10" ht="21.75" hidden="1" customHeight="1" x14ac:dyDescent="0.3">
      <c r="A750" s="125"/>
      <c r="B750" s="180"/>
      <c r="C750" s="125"/>
      <c r="D750" s="68" t="s">
        <v>13</v>
      </c>
      <c r="E750" s="69">
        <f>SUM(E751)</f>
        <v>0</v>
      </c>
      <c r="F750" s="45">
        <f>SUM(F751)</f>
        <v>0</v>
      </c>
      <c r="G750" s="45">
        <f>SUM(G751)</f>
        <v>0</v>
      </c>
      <c r="H750" s="45" t="e">
        <f>SUM(H751)</f>
        <v>#REF!</v>
      </c>
      <c r="I750" s="69" t="e">
        <f>SUM(I751)</f>
        <v>#REF!</v>
      </c>
      <c r="J750" s="69"/>
    </row>
    <row r="751" spans="1:10" ht="21.75" hidden="1" customHeight="1" x14ac:dyDescent="0.25">
      <c r="A751" s="109"/>
      <c r="B751" s="97"/>
      <c r="C751" s="125">
        <v>3110</v>
      </c>
      <c r="D751" s="9"/>
      <c r="E751" s="6"/>
      <c r="F751" s="5"/>
      <c r="G751" s="5"/>
      <c r="H751" s="6" t="e">
        <f>G751-#REF!</f>
        <v>#REF!</v>
      </c>
      <c r="I751" s="6" t="e">
        <f>F751-#REF!</f>
        <v>#REF!</v>
      </c>
      <c r="J751" s="6"/>
    </row>
    <row r="752" spans="1:10" ht="21.75" hidden="1" customHeight="1" x14ac:dyDescent="0.3">
      <c r="A752" s="109"/>
      <c r="B752" s="97"/>
      <c r="C752" s="125"/>
      <c r="D752" s="68" t="s">
        <v>15</v>
      </c>
      <c r="E752" s="45">
        <f>SUM(E753:E754)</f>
        <v>0</v>
      </c>
      <c r="F752" s="45">
        <f>SUM(F753:F754)</f>
        <v>0</v>
      </c>
      <c r="G752" s="45">
        <f>SUM(G753:G754)</f>
        <v>0</v>
      </c>
      <c r="H752" s="45" t="e">
        <f>SUM(H753:H754)</f>
        <v>#REF!</v>
      </c>
      <c r="I752" s="45" t="e">
        <f>SUM(I753:I754)</f>
        <v>#REF!</v>
      </c>
      <c r="J752" s="45"/>
    </row>
    <row r="753" spans="1:10" ht="21.75" hidden="1" customHeight="1" x14ac:dyDescent="0.25">
      <c r="A753" s="109"/>
      <c r="B753" s="125"/>
      <c r="C753" s="125">
        <v>3132</v>
      </c>
      <c r="D753" s="130"/>
      <c r="E753" s="7"/>
      <c r="F753" s="6"/>
      <c r="G753" s="5"/>
      <c r="H753" s="6" t="e">
        <f>G753-#REF!</f>
        <v>#REF!</v>
      </c>
      <c r="I753" s="6" t="e">
        <f>F753-#REF!</f>
        <v>#REF!</v>
      </c>
      <c r="J753" s="6"/>
    </row>
    <row r="754" spans="1:10" ht="20.25" hidden="1" customHeight="1" x14ac:dyDescent="0.25">
      <c r="A754" s="109"/>
      <c r="B754" s="125"/>
      <c r="C754" s="125"/>
      <c r="D754" s="128"/>
      <c r="E754" s="7"/>
      <c r="F754" s="6"/>
      <c r="G754" s="5"/>
      <c r="H754" s="6" t="e">
        <f>G754-#REF!</f>
        <v>#REF!</v>
      </c>
      <c r="I754" s="6" t="e">
        <f>F754-#REF!</f>
        <v>#REF!</v>
      </c>
      <c r="J754" s="6"/>
    </row>
    <row r="755" spans="1:10" ht="20.25" hidden="1" customHeight="1" x14ac:dyDescent="0.25">
      <c r="A755" s="109"/>
      <c r="B755" s="125"/>
      <c r="C755" s="125"/>
      <c r="D755" s="128"/>
      <c r="E755" s="7"/>
      <c r="F755" s="6"/>
      <c r="G755" s="5"/>
      <c r="H755" s="6"/>
      <c r="I755" s="6"/>
      <c r="J755" s="6"/>
    </row>
    <row r="756" spans="1:10" ht="20.25" hidden="1" customHeight="1" x14ac:dyDescent="0.25">
      <c r="A756" s="125">
        <v>3116030</v>
      </c>
      <c r="B756" s="125">
        <v>6030</v>
      </c>
      <c r="C756" s="125"/>
      <c r="D756" s="130"/>
      <c r="E756" s="126"/>
      <c r="F756" s="126">
        <f>F757</f>
        <v>0</v>
      </c>
      <c r="G756" s="126">
        <f>G757</f>
        <v>0</v>
      </c>
      <c r="H756" s="126" t="e">
        <f>H757</f>
        <v>#REF!</v>
      </c>
      <c r="I756" s="126" t="e">
        <f>I757</f>
        <v>#REF!</v>
      </c>
      <c r="J756" s="126"/>
    </row>
    <row r="757" spans="1:10" ht="20.25" hidden="1" customHeight="1" x14ac:dyDescent="0.3">
      <c r="A757" s="125"/>
      <c r="B757" s="125"/>
      <c r="C757" s="125"/>
      <c r="D757" s="68" t="s">
        <v>15</v>
      </c>
      <c r="E757" s="126"/>
      <c r="F757" s="45">
        <f>F758+F779+F783</f>
        <v>0</v>
      </c>
      <c r="G757" s="45">
        <f>G758+G779+G783</f>
        <v>0</v>
      </c>
      <c r="H757" s="45" t="e">
        <f>H758+H779+H783</f>
        <v>#REF!</v>
      </c>
      <c r="I757" s="45" t="e">
        <f>I758+I779+I783</f>
        <v>#REF!</v>
      </c>
      <c r="J757" s="126"/>
    </row>
    <row r="758" spans="1:10" ht="20.25" hidden="1" customHeight="1" x14ac:dyDescent="0.25">
      <c r="A758" s="125"/>
      <c r="B758" s="125">
        <v>3116030</v>
      </c>
      <c r="C758" s="125">
        <v>3132</v>
      </c>
      <c r="D758" s="262" t="s">
        <v>89</v>
      </c>
      <c r="E758" s="126"/>
      <c r="F758" s="45">
        <f>SUM(F759:F777)</f>
        <v>0</v>
      </c>
      <c r="G758" s="45">
        <f>SUM(G759:G777)</f>
        <v>0</v>
      </c>
      <c r="H758" s="45">
        <f>SUM(H759:H777)</f>
        <v>0</v>
      </c>
      <c r="I758" s="45" t="e">
        <f>SUM(I759:I777)</f>
        <v>#REF!</v>
      </c>
      <c r="J758" s="126"/>
    </row>
    <row r="759" spans="1:10" ht="36" hidden="1" customHeight="1" x14ac:dyDescent="0.25">
      <c r="A759" s="125"/>
      <c r="B759" s="125"/>
      <c r="C759" s="125"/>
      <c r="D759" s="8"/>
      <c r="E759" s="126"/>
      <c r="F759" s="7"/>
      <c r="G759" s="6"/>
      <c r="H759" s="6"/>
      <c r="I759" s="6" t="e">
        <f>F759-#REF!</f>
        <v>#REF!</v>
      </c>
      <c r="J759" s="126"/>
    </row>
    <row r="760" spans="1:10" ht="36" hidden="1" customHeight="1" x14ac:dyDescent="0.25">
      <c r="A760" s="125"/>
      <c r="B760" s="125"/>
      <c r="C760" s="125"/>
      <c r="D760" s="8"/>
      <c r="E760" s="126"/>
      <c r="F760" s="7"/>
      <c r="G760" s="7"/>
      <c r="H760" s="6"/>
      <c r="I760" s="6" t="e">
        <f>F760-#REF!</f>
        <v>#REF!</v>
      </c>
      <c r="J760" s="126"/>
    </row>
    <row r="761" spans="1:10" ht="36" hidden="1" customHeight="1" x14ac:dyDescent="0.25">
      <c r="A761" s="125"/>
      <c r="B761" s="125"/>
      <c r="C761" s="125"/>
      <c r="D761" s="8"/>
      <c r="E761" s="126"/>
      <c r="F761" s="7"/>
      <c r="G761" s="7"/>
      <c r="H761" s="6"/>
      <c r="I761" s="6" t="e">
        <f>F761-#REF!</f>
        <v>#REF!</v>
      </c>
      <c r="J761" s="126"/>
    </row>
    <row r="762" spans="1:10" ht="36" hidden="1" customHeight="1" x14ac:dyDescent="0.25">
      <c r="A762" s="125"/>
      <c r="B762" s="125"/>
      <c r="C762" s="125"/>
      <c r="D762" s="8"/>
      <c r="E762" s="126"/>
      <c r="F762" s="7"/>
      <c r="G762" s="7"/>
      <c r="H762" s="6"/>
      <c r="I762" s="6" t="e">
        <f>F762-#REF!</f>
        <v>#REF!</v>
      </c>
      <c r="J762" s="126"/>
    </row>
    <row r="763" spans="1:10" ht="49.5" hidden="1" customHeight="1" x14ac:dyDescent="0.25">
      <c r="A763" s="125"/>
      <c r="B763" s="125"/>
      <c r="C763" s="125"/>
      <c r="D763" s="8"/>
      <c r="E763" s="126"/>
      <c r="F763" s="7"/>
      <c r="G763" s="7"/>
      <c r="H763" s="6"/>
      <c r="I763" s="6" t="e">
        <f>F763-#REF!</f>
        <v>#REF!</v>
      </c>
      <c r="J763" s="126"/>
    </row>
    <row r="764" spans="1:10" ht="36" hidden="1" customHeight="1" x14ac:dyDescent="0.25">
      <c r="A764" s="125"/>
      <c r="B764" s="125"/>
      <c r="C764" s="125"/>
      <c r="D764" s="8"/>
      <c r="E764" s="126"/>
      <c r="F764" s="7"/>
      <c r="G764" s="7"/>
      <c r="H764" s="6"/>
      <c r="I764" s="6" t="e">
        <f>F764-#REF!</f>
        <v>#REF!</v>
      </c>
      <c r="J764" s="126"/>
    </row>
    <row r="765" spans="1:10" ht="36" hidden="1" customHeight="1" x14ac:dyDescent="0.25">
      <c r="A765" s="125"/>
      <c r="B765" s="125"/>
      <c r="C765" s="125"/>
      <c r="D765" s="8"/>
      <c r="E765" s="126"/>
      <c r="F765" s="7"/>
      <c r="G765" s="7"/>
      <c r="H765" s="6"/>
      <c r="I765" s="6" t="e">
        <f>F765-#REF!</f>
        <v>#REF!</v>
      </c>
      <c r="J765" s="126"/>
    </row>
    <row r="766" spans="1:10" ht="36" hidden="1" customHeight="1" x14ac:dyDescent="0.25">
      <c r="A766" s="125"/>
      <c r="B766" s="125"/>
      <c r="C766" s="125"/>
      <c r="D766" s="8"/>
      <c r="E766" s="126"/>
      <c r="F766" s="7"/>
      <c r="G766" s="7"/>
      <c r="H766" s="6"/>
      <c r="I766" s="6" t="e">
        <f>F766-#REF!</f>
        <v>#REF!</v>
      </c>
      <c r="J766" s="126"/>
    </row>
    <row r="767" spans="1:10" ht="36" hidden="1" customHeight="1" x14ac:dyDescent="0.25">
      <c r="A767" s="125"/>
      <c r="B767" s="125"/>
      <c r="C767" s="125"/>
      <c r="D767" s="54"/>
      <c r="E767" s="126"/>
      <c r="F767" s="7"/>
      <c r="G767" s="7"/>
      <c r="H767" s="6"/>
      <c r="I767" s="6" t="e">
        <f>F767-#REF!</f>
        <v>#REF!</v>
      </c>
      <c r="J767" s="126"/>
    </row>
    <row r="768" spans="1:10" ht="67.5" hidden="1" customHeight="1" x14ac:dyDescent="0.25">
      <c r="A768" s="125"/>
      <c r="B768" s="125"/>
      <c r="C768" s="125"/>
      <c r="D768" s="8"/>
      <c r="E768" s="126"/>
      <c r="F768" s="7"/>
      <c r="G768" s="7"/>
      <c r="H768" s="6"/>
      <c r="I768" s="6" t="e">
        <f>F768-#REF!</f>
        <v>#REF!</v>
      </c>
      <c r="J768" s="126"/>
    </row>
    <row r="769" spans="1:10" ht="36" hidden="1" customHeight="1" x14ac:dyDescent="0.25">
      <c r="A769" s="125"/>
      <c r="B769" s="125"/>
      <c r="C769" s="125"/>
      <c r="D769" s="8"/>
      <c r="E769" s="126"/>
      <c r="F769" s="7"/>
      <c r="G769" s="7"/>
      <c r="H769" s="6"/>
      <c r="I769" s="6" t="e">
        <f>F769-#REF!</f>
        <v>#REF!</v>
      </c>
      <c r="J769" s="126"/>
    </row>
    <row r="770" spans="1:10" ht="36" hidden="1" customHeight="1" x14ac:dyDescent="0.25">
      <c r="A770" s="125"/>
      <c r="B770" s="125"/>
      <c r="C770" s="125"/>
      <c r="D770" s="8"/>
      <c r="E770" s="126"/>
      <c r="F770" s="7"/>
      <c r="G770" s="7"/>
      <c r="H770" s="6"/>
      <c r="I770" s="6" t="e">
        <f>F770-#REF!</f>
        <v>#REF!</v>
      </c>
      <c r="J770" s="126"/>
    </row>
    <row r="771" spans="1:10" ht="36" hidden="1" customHeight="1" x14ac:dyDescent="0.25">
      <c r="A771" s="125"/>
      <c r="B771" s="125"/>
      <c r="C771" s="125"/>
      <c r="D771" s="8"/>
      <c r="E771" s="126"/>
      <c r="F771" s="7"/>
      <c r="G771" s="7"/>
      <c r="H771" s="6"/>
      <c r="I771" s="6" t="e">
        <f>F771-#REF!</f>
        <v>#REF!</v>
      </c>
      <c r="J771" s="126"/>
    </row>
    <row r="772" spans="1:10" ht="36" hidden="1" customHeight="1" x14ac:dyDescent="0.25">
      <c r="A772" s="125"/>
      <c r="B772" s="125"/>
      <c r="C772" s="125"/>
      <c r="D772" s="8"/>
      <c r="E772" s="126"/>
      <c r="F772" s="7"/>
      <c r="G772" s="7"/>
      <c r="H772" s="6"/>
      <c r="I772" s="6" t="e">
        <f>F772-#REF!</f>
        <v>#REF!</v>
      </c>
      <c r="J772" s="126"/>
    </row>
    <row r="773" spans="1:10" ht="36" hidden="1" customHeight="1" x14ac:dyDescent="0.25">
      <c r="A773" s="125"/>
      <c r="B773" s="125"/>
      <c r="C773" s="125"/>
      <c r="D773" s="8"/>
      <c r="E773" s="126"/>
      <c r="F773" s="7"/>
      <c r="G773" s="7"/>
      <c r="H773" s="6"/>
      <c r="I773" s="6" t="e">
        <f>F773-#REF!</f>
        <v>#REF!</v>
      </c>
      <c r="J773" s="126"/>
    </row>
    <row r="774" spans="1:10" ht="36" hidden="1" customHeight="1" x14ac:dyDescent="0.25">
      <c r="A774" s="125"/>
      <c r="B774" s="125"/>
      <c r="C774" s="125"/>
      <c r="D774" s="8"/>
      <c r="E774" s="126"/>
      <c r="F774" s="7"/>
      <c r="G774" s="7"/>
      <c r="H774" s="6"/>
      <c r="I774" s="6" t="e">
        <f>F774-#REF!</f>
        <v>#REF!</v>
      </c>
      <c r="J774" s="126"/>
    </row>
    <row r="775" spans="1:10" ht="36" hidden="1" customHeight="1" x14ac:dyDescent="0.25">
      <c r="A775" s="125"/>
      <c r="B775" s="125"/>
      <c r="C775" s="125"/>
      <c r="D775" s="8"/>
      <c r="E775" s="126"/>
      <c r="F775" s="7"/>
      <c r="G775" s="7"/>
      <c r="H775" s="6"/>
      <c r="I775" s="6" t="e">
        <f>F775-#REF!</f>
        <v>#REF!</v>
      </c>
      <c r="J775" s="126"/>
    </row>
    <row r="776" spans="1:10" ht="36" hidden="1" customHeight="1" x14ac:dyDescent="0.25">
      <c r="A776" s="125"/>
      <c r="B776" s="125"/>
      <c r="C776" s="125"/>
      <c r="D776" s="8"/>
      <c r="E776" s="126"/>
      <c r="F776" s="7"/>
      <c r="G776" s="7"/>
      <c r="H776" s="6"/>
      <c r="I776" s="6" t="e">
        <f>F776-#REF!</f>
        <v>#REF!</v>
      </c>
      <c r="J776" s="126"/>
    </row>
    <row r="777" spans="1:10" ht="36" hidden="1" customHeight="1" x14ac:dyDescent="0.25">
      <c r="A777" s="125"/>
      <c r="B777" s="125"/>
      <c r="C777" s="125"/>
      <c r="D777" s="8"/>
      <c r="E777" s="126"/>
      <c r="F777" s="7"/>
      <c r="G777" s="7"/>
      <c r="H777" s="6"/>
      <c r="I777" s="6" t="e">
        <f>F777-#REF!</f>
        <v>#REF!</v>
      </c>
      <c r="J777" s="126"/>
    </row>
    <row r="778" spans="1:10" ht="16.5" hidden="1" customHeight="1" x14ac:dyDescent="0.3">
      <c r="A778" s="125"/>
      <c r="B778" s="125"/>
      <c r="C778" s="125"/>
      <c r="D778" s="68"/>
      <c r="E778" s="126"/>
      <c r="F778" s="45"/>
      <c r="G778" s="45"/>
      <c r="H778" s="45"/>
      <c r="I778" s="45"/>
      <c r="J778" s="126"/>
    </row>
    <row r="779" spans="1:10" ht="39" hidden="1" x14ac:dyDescent="0.25">
      <c r="A779" s="176"/>
      <c r="B779" s="125"/>
      <c r="C779" s="125"/>
      <c r="D779" s="263" t="s">
        <v>93</v>
      </c>
      <c r="E779" s="45"/>
      <c r="F779" s="264">
        <f>SUM(F780:F781)</f>
        <v>0</v>
      </c>
      <c r="G779" s="264">
        <f>SUM(G780:G781)</f>
        <v>0</v>
      </c>
      <c r="H779" s="264" t="e">
        <f>SUM(H780:H781)</f>
        <v>#REF!</v>
      </c>
      <c r="I779" s="264" t="e">
        <f>SUM(I780:I781)</f>
        <v>#REF!</v>
      </c>
      <c r="J779" s="126"/>
    </row>
    <row r="780" spans="1:10" hidden="1" x14ac:dyDescent="0.25">
      <c r="A780" s="109"/>
      <c r="B780" s="125"/>
      <c r="C780" s="125"/>
      <c r="D780" s="63"/>
      <c r="E780" s="7"/>
      <c r="F780" s="6"/>
      <c r="G780" s="6"/>
      <c r="H780" s="6" t="e">
        <f>G780-#REF!</f>
        <v>#REF!</v>
      </c>
      <c r="I780" s="6" t="e">
        <f>F780-#REF!</f>
        <v>#REF!</v>
      </c>
      <c r="J780" s="126"/>
    </row>
    <row r="781" spans="1:10" ht="42.75" hidden="1" customHeight="1" x14ac:dyDescent="0.25">
      <c r="A781" s="109"/>
      <c r="B781" s="125"/>
      <c r="C781" s="125"/>
      <c r="D781" s="63"/>
      <c r="E781" s="7"/>
      <c r="F781" s="6"/>
      <c r="G781" s="6"/>
      <c r="H781" s="6" t="e">
        <f>G781-#REF!</f>
        <v>#REF!</v>
      </c>
      <c r="I781" s="6" t="e">
        <f>F781-#REF!</f>
        <v>#REF!</v>
      </c>
      <c r="J781" s="126"/>
    </row>
    <row r="782" spans="1:10" ht="15" hidden="1" customHeight="1" x14ac:dyDescent="0.25">
      <c r="A782" s="109"/>
      <c r="B782" s="125"/>
      <c r="C782" s="125"/>
      <c r="D782" s="54"/>
      <c r="E782" s="7"/>
      <c r="F782" s="6"/>
      <c r="G782" s="5"/>
      <c r="H782" s="6"/>
      <c r="I782" s="6"/>
      <c r="J782" s="126"/>
    </row>
    <row r="783" spans="1:10" ht="20.25" hidden="1" customHeight="1" x14ac:dyDescent="0.25">
      <c r="A783" s="109"/>
      <c r="B783" s="125"/>
      <c r="C783" s="125"/>
      <c r="D783" s="192" t="s">
        <v>113</v>
      </c>
      <c r="E783" s="7"/>
      <c r="F783" s="264">
        <f>SUM(F784:F785)</f>
        <v>0</v>
      </c>
      <c r="G783" s="264">
        <f>SUM(G784:G785)</f>
        <v>0</v>
      </c>
      <c r="H783" s="264" t="e">
        <f>SUM(H784:H785)</f>
        <v>#REF!</v>
      </c>
      <c r="I783" s="264" t="e">
        <f>SUM(I784:I785)</f>
        <v>#REF!</v>
      </c>
      <c r="J783" s="126"/>
    </row>
    <row r="784" spans="1:10" ht="38.25" hidden="1" customHeight="1" x14ac:dyDescent="0.25">
      <c r="A784" s="109"/>
      <c r="B784" s="125"/>
      <c r="C784" s="125"/>
      <c r="D784" s="54"/>
      <c r="E784" s="7"/>
      <c r="F784" s="6"/>
      <c r="G784" s="6"/>
      <c r="H784" s="7" t="e">
        <f>G784-#REF!</f>
        <v>#REF!</v>
      </c>
      <c r="I784" s="7" t="e">
        <f>F784-#REF!</f>
        <v>#REF!</v>
      </c>
      <c r="J784" s="126"/>
    </row>
    <row r="785" spans="1:10" ht="38.25" hidden="1" customHeight="1" x14ac:dyDescent="0.25">
      <c r="A785" s="109"/>
      <c r="B785" s="125"/>
      <c r="C785" s="125"/>
      <c r="D785" s="54"/>
      <c r="E785" s="7"/>
      <c r="F785" s="6"/>
      <c r="G785" s="6"/>
      <c r="H785" s="6" t="e">
        <f>G785-#REF!</f>
        <v>#REF!</v>
      </c>
      <c r="I785" s="6" t="e">
        <f>F785-#REF!</f>
        <v>#REF!</v>
      </c>
      <c r="J785" s="126"/>
    </row>
    <row r="786" spans="1:10" ht="12" hidden="1" customHeight="1" x14ac:dyDescent="0.25">
      <c r="A786" s="109"/>
      <c r="B786" s="125"/>
      <c r="C786" s="125"/>
      <c r="D786" s="128"/>
      <c r="E786" s="7"/>
      <c r="F786" s="6"/>
      <c r="G786" s="5"/>
      <c r="H786" s="6"/>
      <c r="I786" s="6"/>
      <c r="J786" s="126"/>
    </row>
    <row r="787" spans="1:10" ht="20.25" hidden="1" customHeight="1" x14ac:dyDescent="0.25">
      <c r="A787" s="125">
        <v>3117325</v>
      </c>
      <c r="B787" s="125">
        <v>7325</v>
      </c>
      <c r="C787" s="125"/>
      <c r="D787" s="130"/>
      <c r="E787" s="126">
        <f>E788</f>
        <v>0</v>
      </c>
      <c r="F787" s="126">
        <f>F788</f>
        <v>0</v>
      </c>
      <c r="G787" s="126">
        <f>G788</f>
        <v>0</v>
      </c>
      <c r="H787" s="126" t="e">
        <f>H788</f>
        <v>#REF!</v>
      </c>
      <c r="I787" s="126" t="e">
        <f>I788</f>
        <v>#REF!</v>
      </c>
      <c r="J787" s="126"/>
    </row>
    <row r="788" spans="1:10" ht="20.25" hidden="1" customHeight="1" x14ac:dyDescent="0.3">
      <c r="A788" s="125"/>
      <c r="B788" s="125"/>
      <c r="C788" s="125"/>
      <c r="D788" s="68" t="s">
        <v>14</v>
      </c>
      <c r="E788" s="126"/>
      <c r="F788" s="126">
        <f>SUM(F789)</f>
        <v>0</v>
      </c>
      <c r="G788" s="126">
        <f>SUM(G789)</f>
        <v>0</v>
      </c>
      <c r="H788" s="126" t="e">
        <f>SUM(H789)</f>
        <v>#REF!</v>
      </c>
      <c r="I788" s="126" t="e">
        <f>SUM(I789)</f>
        <v>#REF!</v>
      </c>
      <c r="J788" s="126"/>
    </row>
    <row r="789" spans="1:10" hidden="1" x14ac:dyDescent="0.25">
      <c r="A789" s="109"/>
      <c r="B789" s="125"/>
      <c r="C789" s="125"/>
      <c r="D789" s="54"/>
      <c r="E789" s="7"/>
      <c r="F789" s="6"/>
      <c r="G789" s="6"/>
      <c r="H789" s="6" t="e">
        <f>G789-#REF!</f>
        <v>#REF!</v>
      </c>
      <c r="I789" s="6" t="e">
        <f>F789-#REF!</f>
        <v>#REF!</v>
      </c>
      <c r="J789" s="126"/>
    </row>
    <row r="790" spans="1:10" ht="12" hidden="1" customHeight="1" x14ac:dyDescent="0.25">
      <c r="A790" s="109"/>
      <c r="B790" s="125"/>
      <c r="C790" s="125"/>
      <c r="D790" s="128"/>
      <c r="E790" s="7"/>
      <c r="F790" s="6"/>
      <c r="G790" s="5"/>
      <c r="H790" s="6"/>
      <c r="I790" s="6"/>
      <c r="J790" s="126"/>
    </row>
    <row r="791" spans="1:10" ht="23.25" hidden="1" customHeight="1" x14ac:dyDescent="0.25">
      <c r="A791" s="125">
        <v>3117370</v>
      </c>
      <c r="B791" s="125">
        <v>7370</v>
      </c>
      <c r="C791" s="125"/>
      <c r="D791" s="130"/>
      <c r="E791" s="126">
        <f>E792</f>
        <v>0</v>
      </c>
      <c r="F791" s="126">
        <f>F792</f>
        <v>0</v>
      </c>
      <c r="G791" s="126">
        <f>G792</f>
        <v>0</v>
      </c>
      <c r="H791" s="126" t="e">
        <f>H792</f>
        <v>#REF!</v>
      </c>
      <c r="I791" s="126" t="e">
        <f>I792</f>
        <v>#REF!</v>
      </c>
      <c r="J791" s="126"/>
    </row>
    <row r="792" spans="1:10" ht="23.25" hidden="1" customHeight="1" x14ac:dyDescent="0.3">
      <c r="A792" s="125"/>
      <c r="B792" s="125"/>
      <c r="C792" s="125"/>
      <c r="D792" s="68" t="s">
        <v>15</v>
      </c>
      <c r="E792" s="126"/>
      <c r="F792" s="126">
        <f>SUM(F793:F794)</f>
        <v>0</v>
      </c>
      <c r="G792" s="126">
        <f>SUM(G793:G794)</f>
        <v>0</v>
      </c>
      <c r="H792" s="126" t="e">
        <f>SUM(H793:H794)</f>
        <v>#REF!</v>
      </c>
      <c r="I792" s="126" t="e">
        <f>SUM(I793:I794)</f>
        <v>#REF!</v>
      </c>
      <c r="J792" s="126"/>
    </row>
    <row r="793" spans="1:10" ht="48" hidden="1" customHeight="1" x14ac:dyDescent="0.25">
      <c r="A793" s="109"/>
      <c r="B793" s="125"/>
      <c r="C793" s="125"/>
      <c r="D793" s="54"/>
      <c r="E793" s="7"/>
      <c r="F793" s="6"/>
      <c r="G793" s="6"/>
      <c r="H793" s="6" t="e">
        <f>G793-#REF!</f>
        <v>#REF!</v>
      </c>
      <c r="I793" s="6" t="e">
        <f>F793-#REF!</f>
        <v>#REF!</v>
      </c>
      <c r="J793" s="6"/>
    </row>
    <row r="794" spans="1:10" ht="65.25" hidden="1" customHeight="1" x14ac:dyDescent="0.25">
      <c r="A794" s="109"/>
      <c r="B794" s="125"/>
      <c r="C794" s="125"/>
      <c r="D794" s="93"/>
      <c r="E794" s="7"/>
      <c r="F794" s="6"/>
      <c r="G794" s="6"/>
      <c r="H794" s="6" t="e">
        <f>G794-#REF!</f>
        <v>#REF!</v>
      </c>
      <c r="I794" s="6" t="e">
        <f>F794-#REF!</f>
        <v>#REF!</v>
      </c>
      <c r="J794" s="6"/>
    </row>
    <row r="795" spans="1:10" ht="17.25" hidden="1" customHeight="1" x14ac:dyDescent="0.25">
      <c r="A795" s="109"/>
      <c r="B795" s="125"/>
      <c r="C795" s="125"/>
      <c r="D795" s="128"/>
      <c r="E795" s="7"/>
      <c r="F795" s="6"/>
      <c r="G795" s="5"/>
      <c r="H795" s="6"/>
      <c r="I795" s="6"/>
      <c r="J795" s="6"/>
    </row>
    <row r="796" spans="1:10" ht="17.25" hidden="1" customHeight="1" x14ac:dyDescent="0.25">
      <c r="A796" s="125">
        <v>3117670</v>
      </c>
      <c r="B796" s="125">
        <v>7670</v>
      </c>
      <c r="C796" s="125"/>
      <c r="D796" s="130"/>
      <c r="E796" s="126">
        <f>E797</f>
        <v>0</v>
      </c>
      <c r="F796" s="126">
        <f>F797</f>
        <v>0</v>
      </c>
      <c r="G796" s="126">
        <f>G797</f>
        <v>0</v>
      </c>
      <c r="H796" s="126" t="e">
        <f>H797</f>
        <v>#REF!</v>
      </c>
      <c r="I796" s="126" t="e">
        <f>I797</f>
        <v>#REF!</v>
      </c>
      <c r="J796" s="126"/>
    </row>
    <row r="797" spans="1:10" ht="24.75" hidden="1" customHeight="1" x14ac:dyDescent="0.3">
      <c r="A797" s="125"/>
      <c r="B797" s="125"/>
      <c r="C797" s="125"/>
      <c r="D797" s="68" t="s">
        <v>22</v>
      </c>
      <c r="E797" s="126">
        <f>E802+E804+E821+E825+E828+E834+E838</f>
        <v>0</v>
      </c>
      <c r="F797" s="126">
        <f>SUM(F798:F802)</f>
        <v>0</v>
      </c>
      <c r="G797" s="126">
        <f>SUM(G798:G802)</f>
        <v>0</v>
      </c>
      <c r="H797" s="126" t="e">
        <f>SUM(H798:H802)</f>
        <v>#REF!</v>
      </c>
      <c r="I797" s="126" t="e">
        <f>SUM(I798:I802)</f>
        <v>#REF!</v>
      </c>
      <c r="J797" s="126"/>
    </row>
    <row r="798" spans="1:10" hidden="1" x14ac:dyDescent="0.25">
      <c r="A798" s="125"/>
      <c r="B798" s="125"/>
      <c r="C798" s="125"/>
      <c r="D798" s="54"/>
      <c r="E798" s="74"/>
      <c r="F798" s="74"/>
      <c r="G798" s="74"/>
      <c r="H798" s="92" t="e">
        <f>G798-#REF!</f>
        <v>#REF!</v>
      </c>
      <c r="I798" s="190" t="e">
        <f>F798-#REF!</f>
        <v>#REF!</v>
      </c>
      <c r="J798" s="190"/>
    </row>
    <row r="799" spans="1:10" ht="30" hidden="1" customHeight="1" x14ac:dyDescent="0.25">
      <c r="A799" s="125"/>
      <c r="B799" s="125"/>
      <c r="C799" s="125"/>
      <c r="D799" s="54"/>
      <c r="E799" s="6"/>
      <c r="F799" s="6"/>
      <c r="G799" s="6"/>
      <c r="H799" s="92" t="e">
        <f>G799-#REF!</f>
        <v>#REF!</v>
      </c>
      <c r="I799" s="190" t="e">
        <f>F799-#REF!</f>
        <v>#REF!</v>
      </c>
      <c r="J799" s="190"/>
    </row>
    <row r="800" spans="1:10" ht="23.25" hidden="1" customHeight="1" x14ac:dyDescent="0.25">
      <c r="A800" s="125"/>
      <c r="B800" s="125"/>
      <c r="C800" s="125"/>
      <c r="D800" s="54"/>
      <c r="E800" s="6"/>
      <c r="F800" s="6"/>
      <c r="G800" s="6"/>
      <c r="H800" s="190" t="e">
        <f>G800-#REF!</f>
        <v>#REF!</v>
      </c>
      <c r="I800" s="190" t="e">
        <f>F800-#REF!</f>
        <v>#REF!</v>
      </c>
      <c r="J800" s="190"/>
    </row>
    <row r="801" spans="1:10" hidden="1" x14ac:dyDescent="0.25">
      <c r="A801" s="125"/>
      <c r="B801" s="125"/>
      <c r="C801" s="125"/>
      <c r="D801" s="54"/>
      <c r="E801" s="6"/>
      <c r="F801" s="6"/>
      <c r="G801" s="6"/>
      <c r="H801" s="190" t="e">
        <f>G801-#REF!</f>
        <v>#REF!</v>
      </c>
      <c r="I801" s="190" t="e">
        <f>F801-#REF!</f>
        <v>#REF!</v>
      </c>
      <c r="J801" s="190"/>
    </row>
    <row r="802" spans="1:10" ht="21.75" hidden="1" customHeight="1" x14ac:dyDescent="0.25">
      <c r="A802" s="245"/>
      <c r="B802" s="246"/>
      <c r="C802" s="247"/>
      <c r="D802" s="54"/>
      <c r="E802" s="6"/>
      <c r="F802" s="6"/>
      <c r="G802" s="6"/>
      <c r="H802" s="190" t="e">
        <f>G802-#REF!</f>
        <v>#REF!</v>
      </c>
      <c r="I802" s="190" t="e">
        <f>F802-#REF!</f>
        <v>#REF!</v>
      </c>
      <c r="J802" s="190"/>
    </row>
    <row r="803" spans="1:10" ht="30" hidden="1" customHeight="1" x14ac:dyDescent="0.25">
      <c r="A803" s="225"/>
      <c r="B803" s="126"/>
      <c r="C803" s="358" t="s">
        <v>204</v>
      </c>
      <c r="D803" s="359"/>
      <c r="E803" s="126">
        <f>E748</f>
        <v>0</v>
      </c>
      <c r="F803" s="126">
        <f>F729+F748</f>
        <v>0</v>
      </c>
      <c r="G803" s="126">
        <f>G729+G748</f>
        <v>0</v>
      </c>
      <c r="H803" s="126" t="e">
        <f>H729+H748</f>
        <v>#REF!</v>
      </c>
      <c r="I803" s="126" t="e">
        <f>I729+I748</f>
        <v>#REF!</v>
      </c>
      <c r="J803" s="126"/>
    </row>
    <row r="804" spans="1:10" ht="31.5" hidden="1" customHeight="1" x14ac:dyDescent="0.3">
      <c r="A804" s="230"/>
      <c r="B804" s="231"/>
      <c r="C804" s="232"/>
      <c r="D804" s="233"/>
      <c r="E804" s="232"/>
      <c r="F804" s="232"/>
      <c r="G804" s="232"/>
      <c r="H804" s="232"/>
      <c r="I804" s="232"/>
      <c r="J804" s="232"/>
    </row>
    <row r="805" spans="1:10" ht="43.5" hidden="1" customHeight="1" x14ac:dyDescent="0.25">
      <c r="A805" s="360" t="s">
        <v>114</v>
      </c>
      <c r="B805" s="360"/>
      <c r="C805" s="360"/>
      <c r="D805" s="360"/>
      <c r="E805" s="360"/>
      <c r="F805" s="360"/>
      <c r="G805" s="360"/>
      <c r="H805" s="360"/>
      <c r="I805" s="360"/>
      <c r="J805" s="265"/>
    </row>
    <row r="806" spans="1:10" ht="19.5" hidden="1" customHeight="1" x14ac:dyDescent="0.25">
      <c r="A806" s="266"/>
      <c r="B806" s="266"/>
      <c r="C806" s="266"/>
      <c r="D806" s="266"/>
      <c r="E806" s="266"/>
      <c r="F806" s="266"/>
      <c r="G806" s="266"/>
      <c r="H806" s="266"/>
      <c r="I806" s="266"/>
      <c r="J806" s="266"/>
    </row>
    <row r="807" spans="1:10" ht="31.5" hidden="1" customHeight="1" x14ac:dyDescent="0.25">
      <c r="A807" s="361" t="s">
        <v>3</v>
      </c>
      <c r="B807" s="361" t="s">
        <v>4</v>
      </c>
      <c r="C807" s="361" t="s">
        <v>5</v>
      </c>
      <c r="D807" s="363" t="s">
        <v>6</v>
      </c>
      <c r="E807" s="356" t="s">
        <v>152</v>
      </c>
      <c r="F807" s="344" t="s">
        <v>153</v>
      </c>
      <c r="G807" s="344" t="s">
        <v>154</v>
      </c>
      <c r="H807" s="346" t="s">
        <v>7</v>
      </c>
      <c r="I807" s="347"/>
      <c r="J807" s="36"/>
    </row>
    <row r="808" spans="1:10" ht="70.5" hidden="1" customHeight="1" x14ac:dyDescent="0.25">
      <c r="A808" s="362"/>
      <c r="B808" s="362"/>
      <c r="C808" s="362"/>
      <c r="D808" s="364"/>
      <c r="E808" s="357"/>
      <c r="F808" s="345"/>
      <c r="G808" s="345"/>
      <c r="H808" s="255" t="s">
        <v>155</v>
      </c>
      <c r="I808" s="36" t="s">
        <v>8</v>
      </c>
      <c r="J808" s="36"/>
    </row>
    <row r="809" spans="1:10" ht="22.5" hidden="1" x14ac:dyDescent="0.25">
      <c r="A809" s="176" t="s">
        <v>87</v>
      </c>
      <c r="B809" s="97"/>
      <c r="C809" s="164"/>
      <c r="D809" s="12" t="s">
        <v>88</v>
      </c>
      <c r="E809" s="242"/>
      <c r="F809" s="243">
        <f t="shared" ref="F809:I810" si="34">F810</f>
        <v>0</v>
      </c>
      <c r="G809" s="243">
        <f t="shared" si="34"/>
        <v>0</v>
      </c>
      <c r="H809" s="243" t="e">
        <f t="shared" si="34"/>
        <v>#REF!</v>
      </c>
      <c r="I809" s="243" t="e">
        <f t="shared" si="34"/>
        <v>#REF!</v>
      </c>
      <c r="J809" s="243"/>
    </row>
    <row r="810" spans="1:10" ht="21.75" hidden="1" customHeight="1" x14ac:dyDescent="0.25">
      <c r="A810" s="125">
        <v>3116030</v>
      </c>
      <c r="B810" s="125">
        <v>6030</v>
      </c>
      <c r="C810" s="125"/>
      <c r="D810" s="130"/>
      <c r="E810" s="126"/>
      <c r="F810" s="126">
        <f t="shared" si="34"/>
        <v>0</v>
      </c>
      <c r="G810" s="126">
        <f t="shared" si="34"/>
        <v>0</v>
      </c>
      <c r="H810" s="126" t="e">
        <f t="shared" si="34"/>
        <v>#REF!</v>
      </c>
      <c r="I810" s="126" t="e">
        <f t="shared" si="34"/>
        <v>#REF!</v>
      </c>
      <c r="J810" s="126"/>
    </row>
    <row r="811" spans="1:10" ht="21" hidden="1" customHeight="1" x14ac:dyDescent="0.3">
      <c r="A811" s="125"/>
      <c r="B811" s="125"/>
      <c r="C811" s="125"/>
      <c r="D811" s="68" t="s">
        <v>15</v>
      </c>
      <c r="E811" s="126"/>
      <c r="F811" s="45">
        <f>SUM(F812)</f>
        <v>0</v>
      </c>
      <c r="G811" s="45">
        <f>SUM(G812)</f>
        <v>0</v>
      </c>
      <c r="H811" s="45" t="e">
        <f>SUM(H812)</f>
        <v>#REF!</v>
      </c>
      <c r="I811" s="45" t="e">
        <f>SUM(I812)</f>
        <v>#REF!</v>
      </c>
      <c r="J811" s="45"/>
    </row>
    <row r="812" spans="1:10" ht="31.5" hidden="1" customHeight="1" x14ac:dyDescent="0.3">
      <c r="A812" s="228"/>
      <c r="B812" s="229"/>
      <c r="C812" s="267"/>
      <c r="D812" s="8"/>
      <c r="E812" s="170"/>
      <c r="F812" s="190"/>
      <c r="G812" s="190"/>
      <c r="H812" s="190" t="e">
        <f>G812-#REF!</f>
        <v>#REF!</v>
      </c>
      <c r="I812" s="190" t="e">
        <f>F812-#REF!</f>
        <v>#REF!</v>
      </c>
      <c r="J812" s="190"/>
    </row>
    <row r="813" spans="1:10" ht="15" hidden="1" customHeight="1" x14ac:dyDescent="0.3">
      <c r="A813" s="228"/>
      <c r="B813" s="229"/>
      <c r="C813" s="267"/>
      <c r="D813" s="8"/>
      <c r="E813" s="170"/>
      <c r="F813" s="190"/>
      <c r="G813" s="170"/>
      <c r="H813" s="190"/>
      <c r="I813" s="190"/>
      <c r="J813" s="190"/>
    </row>
    <row r="814" spans="1:10" ht="31.5" hidden="1" customHeight="1" x14ac:dyDescent="0.25">
      <c r="A814" s="268"/>
      <c r="B814" s="269"/>
      <c r="C814" s="269"/>
      <c r="D814" s="12" t="s">
        <v>115</v>
      </c>
      <c r="E814" s="170">
        <f>E809</f>
        <v>0</v>
      </c>
      <c r="F814" s="170">
        <f>F809</f>
        <v>0</v>
      </c>
      <c r="G814" s="170">
        <f>G809</f>
        <v>0</v>
      </c>
      <c r="H814" s="170" t="e">
        <f>H809</f>
        <v>#REF!</v>
      </c>
      <c r="I814" s="170" t="e">
        <f>I809</f>
        <v>#REF!</v>
      </c>
      <c r="J814" s="170"/>
    </row>
    <row r="815" spans="1:10" ht="24" hidden="1" customHeight="1" x14ac:dyDescent="0.3">
      <c r="A815" s="230"/>
      <c r="B815" s="231"/>
      <c r="C815" s="232"/>
      <c r="D815" s="233"/>
      <c r="E815" s="232"/>
      <c r="F815" s="232"/>
      <c r="G815" s="232"/>
      <c r="H815" s="232"/>
      <c r="I815" s="232"/>
      <c r="J815" s="232"/>
    </row>
    <row r="816" spans="1:10" ht="113.25" hidden="1" customHeight="1" x14ac:dyDescent="0.3">
      <c r="B816" s="365" t="s">
        <v>116</v>
      </c>
      <c r="C816" s="365"/>
      <c r="D816" s="365"/>
      <c r="E816" s="365"/>
      <c r="F816" s="365"/>
      <c r="G816" s="365"/>
      <c r="H816" s="365"/>
      <c r="I816" s="270"/>
      <c r="J816" s="271"/>
    </row>
    <row r="817" spans="1:10" ht="15.75" hidden="1" customHeight="1" x14ac:dyDescent="0.25">
      <c r="F817" s="272"/>
    </row>
    <row r="818" spans="1:10" ht="24" hidden="1" customHeight="1" x14ac:dyDescent="0.25">
      <c r="A818" s="352" t="s">
        <v>3</v>
      </c>
      <c r="B818" s="352" t="s">
        <v>4</v>
      </c>
      <c r="C818" s="352" t="s">
        <v>5</v>
      </c>
      <c r="D818" s="354" t="s">
        <v>6</v>
      </c>
      <c r="E818" s="356" t="s">
        <v>152</v>
      </c>
      <c r="F818" s="344" t="s">
        <v>153</v>
      </c>
      <c r="G818" s="344" t="s">
        <v>154</v>
      </c>
      <c r="H818" s="346" t="s">
        <v>7</v>
      </c>
      <c r="I818" s="347"/>
      <c r="J818" s="36"/>
    </row>
    <row r="819" spans="1:10" ht="95.25" hidden="1" customHeight="1" x14ac:dyDescent="0.25">
      <c r="A819" s="353"/>
      <c r="B819" s="353"/>
      <c r="C819" s="353"/>
      <c r="D819" s="355"/>
      <c r="E819" s="357"/>
      <c r="F819" s="345"/>
      <c r="G819" s="345"/>
      <c r="H819" s="255" t="s">
        <v>155</v>
      </c>
      <c r="I819" s="36" t="s">
        <v>8</v>
      </c>
      <c r="J819" s="36"/>
    </row>
    <row r="820" spans="1:10" ht="24" hidden="1" customHeight="1" x14ac:dyDescent="0.25">
      <c r="A820" s="273" t="s">
        <v>117</v>
      </c>
      <c r="B820" s="274"/>
      <c r="C820" s="274"/>
      <c r="D820" s="12" t="s">
        <v>68</v>
      </c>
      <c r="E820" s="126">
        <f>E821+E826</f>
        <v>0</v>
      </c>
      <c r="F820" s="19">
        <f>F821+F826</f>
        <v>0</v>
      </c>
      <c r="G820" s="126">
        <f>G821+G826</f>
        <v>0</v>
      </c>
      <c r="H820" s="126" t="e">
        <f>H821+H826</f>
        <v>#REF!</v>
      </c>
      <c r="I820" s="126" t="e">
        <f>I821+I826</f>
        <v>#REF!</v>
      </c>
      <c r="J820" s="126"/>
    </row>
    <row r="821" spans="1:10" ht="24" hidden="1" customHeight="1" x14ac:dyDescent="0.25">
      <c r="A821" s="37" t="s">
        <v>118</v>
      </c>
      <c r="B821" s="84">
        <v>3222</v>
      </c>
      <c r="C821" s="273" t="s">
        <v>119</v>
      </c>
      <c r="D821" s="12"/>
      <c r="E821" s="126">
        <f t="shared" ref="E821:I822" si="35">E822</f>
        <v>0</v>
      </c>
      <c r="F821" s="19">
        <f t="shared" si="35"/>
        <v>0</v>
      </c>
      <c r="G821" s="126">
        <f t="shared" si="35"/>
        <v>0</v>
      </c>
      <c r="H821" s="126" t="e">
        <f t="shared" si="35"/>
        <v>#REF!</v>
      </c>
      <c r="I821" s="126" t="e">
        <f t="shared" si="35"/>
        <v>#REF!</v>
      </c>
      <c r="J821" s="126"/>
    </row>
    <row r="822" spans="1:10" ht="24" hidden="1" customHeight="1" x14ac:dyDescent="0.25">
      <c r="A822" s="268"/>
      <c r="B822" s="274"/>
      <c r="C822" s="274"/>
      <c r="D822" s="121" t="s">
        <v>120</v>
      </c>
      <c r="E822" s="126">
        <f t="shared" si="35"/>
        <v>0</v>
      </c>
      <c r="F822" s="19">
        <f t="shared" si="35"/>
        <v>0</v>
      </c>
      <c r="G822" s="126">
        <f t="shared" si="35"/>
        <v>0</v>
      </c>
      <c r="H822" s="126" t="e">
        <f t="shared" si="35"/>
        <v>#REF!</v>
      </c>
      <c r="I822" s="126" t="e">
        <f t="shared" si="35"/>
        <v>#REF!</v>
      </c>
      <c r="J822" s="126"/>
    </row>
    <row r="823" spans="1:10" ht="24.75" hidden="1" customHeight="1" x14ac:dyDescent="0.25">
      <c r="A823" s="268"/>
      <c r="B823" s="274"/>
      <c r="C823" s="274"/>
      <c r="D823" s="54"/>
      <c r="E823" s="6"/>
      <c r="F823" s="7"/>
      <c r="G823" s="6"/>
      <c r="H823" s="6" t="e">
        <f>G823-#REF!</f>
        <v>#REF!</v>
      </c>
      <c r="I823" s="6" t="e">
        <f>F823-#REF!</f>
        <v>#REF!</v>
      </c>
      <c r="J823" s="6"/>
    </row>
    <row r="824" spans="1:10" ht="14.25" hidden="1" customHeight="1" x14ac:dyDescent="0.25">
      <c r="A824" s="268"/>
      <c r="B824" s="274"/>
      <c r="C824" s="274"/>
      <c r="D824" s="85"/>
      <c r="E824" s="6"/>
      <c r="F824" s="7"/>
      <c r="G824" s="6"/>
      <c r="H824" s="6"/>
      <c r="I824" s="6"/>
      <c r="J824" s="6"/>
    </row>
    <row r="825" spans="1:10" ht="24" hidden="1" customHeight="1" x14ac:dyDescent="0.25">
      <c r="A825" s="268"/>
      <c r="B825" s="269"/>
      <c r="C825" s="269"/>
      <c r="D825" s="12" t="s">
        <v>115</v>
      </c>
      <c r="E825" s="170">
        <f>E820</f>
        <v>0</v>
      </c>
      <c r="F825" s="122">
        <f>F820</f>
        <v>0</v>
      </c>
      <c r="G825" s="170">
        <f>G820</f>
        <v>0</v>
      </c>
      <c r="H825" s="170" t="e">
        <f>H820</f>
        <v>#REF!</v>
      </c>
      <c r="I825" s="170" t="e">
        <f>I820</f>
        <v>#REF!</v>
      </c>
      <c r="J825" s="170"/>
    </row>
    <row r="826" spans="1:10" ht="24" hidden="1" customHeight="1" x14ac:dyDescent="0.3">
      <c r="A826" s="230"/>
      <c r="B826" s="231"/>
      <c r="C826" s="232"/>
      <c r="D826" s="233"/>
      <c r="E826" s="232"/>
      <c r="F826" s="232"/>
      <c r="G826" s="232"/>
      <c r="H826" s="232"/>
      <c r="I826" s="232"/>
      <c r="J826" s="232"/>
    </row>
    <row r="827" spans="1:10" ht="15" hidden="1" customHeight="1" x14ac:dyDescent="0.25">
      <c r="D827" s="370" t="s">
        <v>121</v>
      </c>
      <c r="E827" s="370"/>
      <c r="F827" s="370"/>
      <c r="G827" s="370"/>
    </row>
    <row r="828" spans="1:10" ht="27.75" hidden="1" customHeight="1" x14ac:dyDescent="0.25">
      <c r="D828" s="370"/>
      <c r="E828" s="370"/>
      <c r="F828" s="370"/>
      <c r="G828" s="370"/>
    </row>
    <row r="829" spans="1:10" ht="36" hidden="1" customHeight="1" x14ac:dyDescent="0.25">
      <c r="F829" s="272"/>
    </row>
    <row r="830" spans="1:10" ht="15.75" hidden="1" customHeight="1" x14ac:dyDescent="0.25">
      <c r="A830" s="371" t="s">
        <v>3</v>
      </c>
      <c r="B830" s="356" t="s">
        <v>4</v>
      </c>
      <c r="C830" s="352" t="s">
        <v>5</v>
      </c>
      <c r="D830" s="354" t="s">
        <v>6</v>
      </c>
      <c r="E830" s="356" t="s">
        <v>122</v>
      </c>
      <c r="F830" s="344" t="s">
        <v>123</v>
      </c>
      <c r="G830" s="344" t="s">
        <v>124</v>
      </c>
      <c r="H830" s="346" t="s">
        <v>7</v>
      </c>
      <c r="I830" s="347"/>
      <c r="J830" s="36"/>
    </row>
    <row r="831" spans="1:10" ht="172.5" hidden="1" customHeight="1" x14ac:dyDescent="0.25">
      <c r="A831" s="372"/>
      <c r="B831" s="357"/>
      <c r="C831" s="353"/>
      <c r="D831" s="355"/>
      <c r="E831" s="357"/>
      <c r="F831" s="345"/>
      <c r="G831" s="345"/>
      <c r="H831" s="255" t="s">
        <v>125</v>
      </c>
      <c r="I831" s="36" t="s">
        <v>8</v>
      </c>
      <c r="J831" s="36"/>
    </row>
    <row r="832" spans="1:10" ht="18.75" hidden="1" customHeight="1" x14ac:dyDescent="0.25">
      <c r="A832" s="176" t="s">
        <v>126</v>
      </c>
      <c r="B832" s="176"/>
      <c r="C832" s="176"/>
      <c r="D832" s="275" t="s">
        <v>88</v>
      </c>
      <c r="E832" s="38"/>
      <c r="F832" s="19">
        <f t="shared" ref="F832:I833" si="36">F833</f>
        <v>0</v>
      </c>
      <c r="G832" s="126">
        <f t="shared" si="36"/>
        <v>0</v>
      </c>
      <c r="H832" s="126" t="e">
        <f t="shared" si="36"/>
        <v>#REF!</v>
      </c>
      <c r="I832" s="126" t="e">
        <f t="shared" si="36"/>
        <v>#REF!</v>
      </c>
      <c r="J832" s="126"/>
    </row>
    <row r="833" spans="1:10" hidden="1" x14ac:dyDescent="0.25">
      <c r="A833" s="276">
        <v>3117380</v>
      </c>
      <c r="B833" s="146">
        <v>7380</v>
      </c>
      <c r="C833" s="176"/>
      <c r="D833" s="277"/>
      <c r="E833" s="278"/>
      <c r="F833" s="19">
        <f t="shared" si="36"/>
        <v>0</v>
      </c>
      <c r="G833" s="126">
        <f t="shared" si="36"/>
        <v>0</v>
      </c>
      <c r="H833" s="126" t="e">
        <f t="shared" si="36"/>
        <v>#REF!</v>
      </c>
      <c r="I833" s="126" t="e">
        <f t="shared" si="36"/>
        <v>#REF!</v>
      </c>
      <c r="J833" s="126"/>
    </row>
    <row r="834" spans="1:10" ht="20.25" hidden="1" x14ac:dyDescent="0.25">
      <c r="A834" s="279"/>
      <c r="B834" s="279"/>
      <c r="C834" s="222"/>
      <c r="D834" s="121" t="s">
        <v>15</v>
      </c>
      <c r="E834" s="69"/>
      <c r="F834" s="69">
        <f>SUM(F835)</f>
        <v>0</v>
      </c>
      <c r="G834" s="45">
        <f>SUM(G835)</f>
        <v>0</v>
      </c>
      <c r="H834" s="45" t="e">
        <f>SUM(H835)</f>
        <v>#REF!</v>
      </c>
      <c r="I834" s="45" t="e">
        <f>SUM(I835)</f>
        <v>#REF!</v>
      </c>
      <c r="J834" s="45"/>
    </row>
    <row r="835" spans="1:10" ht="56.25" hidden="1" x14ac:dyDescent="0.25">
      <c r="A835" s="279"/>
      <c r="B835" s="279"/>
      <c r="C835" s="222"/>
      <c r="D835" s="85" t="s">
        <v>127</v>
      </c>
      <c r="E835" s="69"/>
      <c r="F835" s="7">
        <f>3653121.2-3653121.2</f>
        <v>0</v>
      </c>
      <c r="G835" s="6">
        <f>3653121.2-3653121.2</f>
        <v>0</v>
      </c>
      <c r="H835" s="6" t="e">
        <f>G835-#REF!</f>
        <v>#REF!</v>
      </c>
      <c r="I835" s="6" t="e">
        <f>F835-#REF!</f>
        <v>#REF!</v>
      </c>
      <c r="J835" s="6"/>
    </row>
    <row r="836" spans="1:10" hidden="1" x14ac:dyDescent="0.25">
      <c r="A836" s="245"/>
      <c r="B836" s="245"/>
      <c r="C836" s="280"/>
      <c r="D836" s="281"/>
      <c r="E836" s="245"/>
      <c r="F836" s="282"/>
      <c r="G836" s="245"/>
      <c r="I836" s="96"/>
      <c r="J836" s="96"/>
    </row>
    <row r="837" spans="1:10" ht="21" hidden="1" x14ac:dyDescent="0.25">
      <c r="A837" s="268"/>
      <c r="B837" s="269"/>
      <c r="C837" s="269"/>
      <c r="D837" s="12" t="s">
        <v>115</v>
      </c>
      <c r="E837" s="170" t="e">
        <f>#REF!</f>
        <v>#REF!</v>
      </c>
      <c r="F837" s="122">
        <f>F832</f>
        <v>0</v>
      </c>
      <c r="G837" s="170">
        <f>G832</f>
        <v>0</v>
      </c>
      <c r="H837" s="170" t="e">
        <f>H832</f>
        <v>#REF!</v>
      </c>
      <c r="I837" s="170" t="e">
        <f>I832</f>
        <v>#REF!</v>
      </c>
      <c r="J837" s="170"/>
    </row>
    <row r="838" spans="1:10" hidden="1" x14ac:dyDescent="0.25"/>
    <row r="839" spans="1:10" hidden="1" x14ac:dyDescent="0.25"/>
    <row r="840" spans="1:10" ht="15" hidden="1" customHeight="1" x14ac:dyDescent="0.25">
      <c r="D840" s="370" t="s">
        <v>128</v>
      </c>
      <c r="E840" s="370"/>
      <c r="F840" s="370"/>
      <c r="G840" s="370"/>
    </row>
    <row r="841" spans="1:10" ht="27" hidden="1" customHeight="1" x14ac:dyDescent="0.25">
      <c r="D841" s="370"/>
      <c r="E841" s="370"/>
      <c r="F841" s="370"/>
      <c r="G841" s="370"/>
    </row>
    <row r="842" spans="1:10" ht="15" hidden="1" customHeight="1" x14ac:dyDescent="0.25">
      <c r="F842" s="272"/>
    </row>
    <row r="843" spans="1:10" ht="15" hidden="1" customHeight="1" x14ac:dyDescent="0.25">
      <c r="A843" s="371" t="s">
        <v>3</v>
      </c>
      <c r="B843" s="356" t="s">
        <v>4</v>
      </c>
      <c r="C843" s="352" t="s">
        <v>5</v>
      </c>
      <c r="D843" s="354" t="s">
        <v>6</v>
      </c>
      <c r="E843" s="356" t="s">
        <v>122</v>
      </c>
      <c r="F843" s="344" t="s">
        <v>123</v>
      </c>
      <c r="G843" s="344" t="s">
        <v>124</v>
      </c>
      <c r="H843" s="346" t="s">
        <v>7</v>
      </c>
      <c r="I843" s="347"/>
      <c r="J843" s="36"/>
    </row>
    <row r="844" spans="1:10" ht="194.25" hidden="1" customHeight="1" x14ac:dyDescent="0.25">
      <c r="A844" s="372"/>
      <c r="B844" s="357"/>
      <c r="C844" s="353"/>
      <c r="D844" s="355"/>
      <c r="E844" s="357"/>
      <c r="F844" s="345"/>
      <c r="G844" s="345"/>
      <c r="H844" s="255" t="s">
        <v>125</v>
      </c>
      <c r="I844" s="36" t="s">
        <v>8</v>
      </c>
      <c r="J844" s="36"/>
    </row>
    <row r="845" spans="1:10" ht="15" hidden="1" customHeight="1" x14ac:dyDescent="0.25">
      <c r="A845" s="176" t="s">
        <v>126</v>
      </c>
      <c r="B845" s="176"/>
      <c r="C845" s="176"/>
      <c r="D845" s="275" t="s">
        <v>88</v>
      </c>
      <c r="E845" s="38"/>
      <c r="F845" s="19">
        <f t="shared" ref="F845:I846" si="37">F846</f>
        <v>0</v>
      </c>
      <c r="G845" s="126">
        <f t="shared" si="37"/>
        <v>0</v>
      </c>
      <c r="H845" s="126" t="e">
        <f t="shared" si="37"/>
        <v>#REF!</v>
      </c>
      <c r="I845" s="126" t="e">
        <f t="shared" si="37"/>
        <v>#REF!</v>
      </c>
      <c r="J845" s="126"/>
    </row>
    <row r="846" spans="1:10" ht="15" hidden="1" customHeight="1" x14ac:dyDescent="0.25">
      <c r="A846" s="276">
        <v>3116030</v>
      </c>
      <c r="B846" s="146">
        <v>6030</v>
      </c>
      <c r="C846" s="176"/>
      <c r="D846" s="277"/>
      <c r="E846" s="278"/>
      <c r="F846" s="19">
        <f t="shared" si="37"/>
        <v>0</v>
      </c>
      <c r="G846" s="126">
        <f t="shared" si="37"/>
        <v>0</v>
      </c>
      <c r="H846" s="126" t="e">
        <f t="shared" si="37"/>
        <v>#REF!</v>
      </c>
      <c r="I846" s="126" t="e">
        <f t="shared" si="37"/>
        <v>#REF!</v>
      </c>
      <c r="J846" s="126"/>
    </row>
    <row r="847" spans="1:10" ht="20.25" hidden="1" x14ac:dyDescent="0.25">
      <c r="A847" s="279"/>
      <c r="B847" s="279"/>
      <c r="C847" s="222"/>
      <c r="D847" s="121" t="s">
        <v>22</v>
      </c>
      <c r="E847" s="69"/>
      <c r="F847" s="69">
        <f>SUM(F848)</f>
        <v>0</v>
      </c>
      <c r="G847" s="45">
        <f>SUM(G848)</f>
        <v>0</v>
      </c>
      <c r="H847" s="45" t="e">
        <f>SUM(H848)</f>
        <v>#REF!</v>
      </c>
      <c r="I847" s="45" t="e">
        <f>SUM(I848)</f>
        <v>#REF!</v>
      </c>
      <c r="J847" s="45"/>
    </row>
    <row r="848" spans="1:10" ht="15.75" hidden="1" customHeight="1" x14ac:dyDescent="0.25">
      <c r="A848" s="279"/>
      <c r="B848" s="279"/>
      <c r="C848" s="222"/>
      <c r="D848" s="85" t="s">
        <v>129</v>
      </c>
      <c r="E848" s="69"/>
      <c r="F848" s="7">
        <f>1293970-1293970</f>
        <v>0</v>
      </c>
      <c r="G848" s="6">
        <f>1293970-1293970</f>
        <v>0</v>
      </c>
      <c r="H848" s="6" t="e">
        <f>G848-#REF!</f>
        <v>#REF!</v>
      </c>
      <c r="I848" s="6" t="e">
        <f>F848-#REF!</f>
        <v>#REF!</v>
      </c>
      <c r="J848" s="6"/>
    </row>
    <row r="849" spans="1:10" hidden="1" x14ac:dyDescent="0.25">
      <c r="A849" s="245"/>
      <c r="B849" s="245"/>
      <c r="C849" s="280"/>
      <c r="D849" s="281"/>
      <c r="E849" s="245"/>
      <c r="F849" s="282"/>
      <c r="G849" s="245"/>
      <c r="I849" s="96"/>
      <c r="J849" s="96"/>
    </row>
    <row r="850" spans="1:10" ht="21" hidden="1" x14ac:dyDescent="0.25">
      <c r="A850" s="268"/>
      <c r="B850" s="269"/>
      <c r="C850" s="269"/>
      <c r="D850" s="12" t="s">
        <v>115</v>
      </c>
      <c r="E850" s="170">
        <f>E845</f>
        <v>0</v>
      </c>
      <c r="F850" s="122">
        <f>F845</f>
        <v>0</v>
      </c>
      <c r="G850" s="170">
        <f>G845</f>
        <v>0</v>
      </c>
      <c r="H850" s="170" t="e">
        <f>H845</f>
        <v>#REF!</v>
      </c>
      <c r="I850" s="170" t="e">
        <f>I845</f>
        <v>#REF!</v>
      </c>
      <c r="J850" s="170"/>
    </row>
    <row r="851" spans="1:10" ht="18.75" hidden="1" customHeight="1" x14ac:dyDescent="0.3">
      <c r="B851" s="283"/>
      <c r="C851" s="284"/>
      <c r="D851" s="369" t="s">
        <v>130</v>
      </c>
      <c r="E851" s="369"/>
      <c r="F851" s="369"/>
      <c r="G851" s="369"/>
      <c r="H851" s="253"/>
      <c r="I851" s="253"/>
      <c r="J851" s="253"/>
    </row>
    <row r="852" spans="1:10" hidden="1" x14ac:dyDescent="0.25">
      <c r="B852" s="283"/>
      <c r="C852" s="284"/>
      <c r="D852" s="285"/>
      <c r="E852" s="283"/>
      <c r="F852" s="283"/>
      <c r="G852" s="283"/>
      <c r="H852" s="253"/>
      <c r="I852" s="253"/>
      <c r="J852" s="253"/>
    </row>
    <row r="853" spans="1:10" ht="55.5" hidden="1" customHeight="1" x14ac:dyDescent="0.25">
      <c r="A853" s="366" t="s">
        <v>3</v>
      </c>
      <c r="B853" s="366" t="s">
        <v>4</v>
      </c>
      <c r="C853" s="366" t="s">
        <v>5</v>
      </c>
      <c r="D853" s="354" t="s">
        <v>6</v>
      </c>
      <c r="E853" s="356" t="s">
        <v>152</v>
      </c>
      <c r="F853" s="344" t="s">
        <v>153</v>
      </c>
      <c r="G853" s="344" t="s">
        <v>154</v>
      </c>
      <c r="H853" s="346" t="s">
        <v>7</v>
      </c>
      <c r="I853" s="347"/>
      <c r="J853" s="36"/>
    </row>
    <row r="854" spans="1:10" ht="24" hidden="1" customHeight="1" x14ac:dyDescent="0.25">
      <c r="A854" s="367"/>
      <c r="B854" s="367"/>
      <c r="C854" s="367"/>
      <c r="D854" s="355"/>
      <c r="E854" s="357"/>
      <c r="F854" s="345"/>
      <c r="G854" s="345"/>
      <c r="H854" s="255" t="s">
        <v>155</v>
      </c>
      <c r="I854" s="36" t="s">
        <v>8</v>
      </c>
      <c r="J854" s="36"/>
    </row>
    <row r="855" spans="1:10" ht="28.5" hidden="1" customHeight="1" x14ac:dyDescent="0.25">
      <c r="A855" s="37" t="s">
        <v>9</v>
      </c>
      <c r="B855" s="38"/>
      <c r="C855" s="38"/>
      <c r="D855" s="39" t="s">
        <v>10</v>
      </c>
      <c r="E855" s="23"/>
      <c r="F855" s="286">
        <f>F856+F873+F877+F882+F886+F864</f>
        <v>0</v>
      </c>
      <c r="G855" s="286">
        <f>G856+G873+G877+G882+G886+G864</f>
        <v>0</v>
      </c>
      <c r="H855" s="286" t="e">
        <f>H856+H873+H877+H882+H886+H864</f>
        <v>#REF!</v>
      </c>
      <c r="I855" s="286" t="e">
        <f>I856+I873+I877+I882+I886+I864</f>
        <v>#REF!</v>
      </c>
      <c r="J855" s="286"/>
    </row>
    <row r="856" spans="1:10" hidden="1" x14ac:dyDescent="0.3">
      <c r="A856" s="18" t="s">
        <v>11</v>
      </c>
      <c r="B856" s="19" t="s">
        <v>12</v>
      </c>
      <c r="C856" s="20"/>
      <c r="D856" s="68"/>
      <c r="E856" s="22"/>
      <c r="F856" s="22">
        <f>F857+F860</f>
        <v>0</v>
      </c>
      <c r="G856" s="22">
        <f>G857+G860</f>
        <v>0</v>
      </c>
      <c r="H856" s="22" t="e">
        <f>H857+H860</f>
        <v>#REF!</v>
      </c>
      <c r="I856" s="22" t="e">
        <f>I857+I860</f>
        <v>#REF!</v>
      </c>
      <c r="J856" s="22"/>
    </row>
    <row r="857" spans="1:10" hidden="1" x14ac:dyDescent="0.3">
      <c r="A857" s="18"/>
      <c r="B857" s="19"/>
      <c r="C857" s="20"/>
      <c r="D857" s="15" t="s">
        <v>13</v>
      </c>
      <c r="E857" s="22"/>
      <c r="F857" s="287">
        <f>SUM(F858)</f>
        <v>0</v>
      </c>
      <c r="G857" s="287">
        <f>SUM(G858)</f>
        <v>0</v>
      </c>
      <c r="H857" s="287" t="e">
        <f>SUM(H858)</f>
        <v>#REF!</v>
      </c>
      <c r="I857" s="287" t="e">
        <f>SUM(I858)</f>
        <v>#REF!</v>
      </c>
      <c r="J857" s="287"/>
    </row>
    <row r="858" spans="1:10" hidden="1" x14ac:dyDescent="0.3">
      <c r="A858" s="18"/>
      <c r="B858" s="19"/>
      <c r="C858" s="20"/>
      <c r="D858" s="1"/>
      <c r="E858" s="22"/>
      <c r="F858" s="288"/>
      <c r="G858" s="288"/>
      <c r="H858" s="288" t="e">
        <f>G858-#REF!</f>
        <v>#REF!</v>
      </c>
      <c r="I858" s="288" t="e">
        <f>F858-#REF!</f>
        <v>#REF!</v>
      </c>
      <c r="J858" s="288"/>
    </row>
    <row r="859" spans="1:10" hidden="1" x14ac:dyDescent="0.3">
      <c r="A859" s="18"/>
      <c r="B859" s="19"/>
      <c r="C859" s="20"/>
      <c r="D859" s="15"/>
      <c r="E859" s="22"/>
      <c r="F859" s="22"/>
      <c r="G859" s="22"/>
      <c r="H859" s="22"/>
      <c r="I859" s="22"/>
      <c r="J859" s="22"/>
    </row>
    <row r="860" spans="1:10" hidden="1" x14ac:dyDescent="0.3">
      <c r="A860" s="18"/>
      <c r="B860" s="19"/>
      <c r="C860" s="19"/>
      <c r="D860" s="15" t="s">
        <v>15</v>
      </c>
      <c r="E860" s="16"/>
      <c r="F860" s="16">
        <f>SUM(F861:F862)</f>
        <v>0</v>
      </c>
      <c r="G860" s="16">
        <f>SUM(G861:G862)</f>
        <v>0</v>
      </c>
      <c r="H860" s="16" t="e">
        <f>SUM(H861:H862)</f>
        <v>#REF!</v>
      </c>
      <c r="I860" s="16" t="e">
        <f>SUM(I861:I862)</f>
        <v>#REF!</v>
      </c>
      <c r="J860" s="16"/>
    </row>
    <row r="861" spans="1:10" ht="22.5" hidden="1" customHeight="1" x14ac:dyDescent="0.25">
      <c r="A861" s="18"/>
      <c r="B861" s="52"/>
      <c r="C861" s="52"/>
      <c r="D861" s="9"/>
      <c r="E861" s="289"/>
      <c r="F861" s="81"/>
      <c r="G861" s="290"/>
      <c r="H861" s="6" t="e">
        <f>G861-#REF!</f>
        <v>#REF!</v>
      </c>
      <c r="I861" s="6" t="e">
        <f>F861-#REF!</f>
        <v>#REF!</v>
      </c>
      <c r="J861" s="6"/>
    </row>
    <row r="862" spans="1:10" hidden="1" x14ac:dyDescent="0.25">
      <c r="A862" s="291"/>
      <c r="B862" s="72"/>
      <c r="C862" s="72"/>
      <c r="D862" s="9"/>
      <c r="E862" s="72"/>
      <c r="F862" s="6"/>
      <c r="G862" s="111"/>
      <c r="H862" s="6" t="e">
        <f>G862-#REF!</f>
        <v>#REF!</v>
      </c>
      <c r="I862" s="6" t="e">
        <f>F862-#REF!</f>
        <v>#REF!</v>
      </c>
      <c r="J862" s="6"/>
    </row>
    <row r="863" spans="1:10" ht="24" hidden="1" customHeight="1" x14ac:dyDescent="0.3">
      <c r="A863" s="291"/>
      <c r="B863" s="72"/>
      <c r="C863" s="72"/>
      <c r="D863" s="182"/>
      <c r="E863" s="72"/>
      <c r="F863" s="6"/>
      <c r="G863" s="111"/>
      <c r="H863" s="6" t="e">
        <f>G863-#REF!</f>
        <v>#REF!</v>
      </c>
      <c r="I863" s="6" t="e">
        <f>F863-#REF!</f>
        <v>#REF!</v>
      </c>
      <c r="J863" s="6"/>
    </row>
    <row r="864" spans="1:10" hidden="1" x14ac:dyDescent="0.25">
      <c r="A864" s="18" t="s">
        <v>20</v>
      </c>
      <c r="B864" s="51" t="s">
        <v>21</v>
      </c>
      <c r="C864" s="52"/>
      <c r="D864" s="12"/>
      <c r="E864" s="10">
        <f>SUM(E866:E869)</f>
        <v>0</v>
      </c>
      <c r="F864" s="10">
        <f>F865+F870</f>
        <v>0</v>
      </c>
      <c r="G864" s="10">
        <f>G865+G870</f>
        <v>0</v>
      </c>
      <c r="H864" s="10" t="e">
        <f>H865+H870</f>
        <v>#REF!</v>
      </c>
      <c r="I864" s="10" t="e">
        <f>I865+I870</f>
        <v>#REF!</v>
      </c>
      <c r="J864" s="10"/>
    </row>
    <row r="865" spans="1:10" hidden="1" x14ac:dyDescent="0.3">
      <c r="A865" s="18"/>
      <c r="B865" s="19"/>
      <c r="C865" s="19"/>
      <c r="D865" s="15" t="s">
        <v>22</v>
      </c>
      <c r="E865" s="16"/>
      <c r="F865" s="16">
        <f>F866+F867+F868</f>
        <v>0</v>
      </c>
      <c r="G865" s="16">
        <f>G866+G867+G868</f>
        <v>0</v>
      </c>
      <c r="H865" s="16" t="e">
        <f>H866+H867+H868</f>
        <v>#REF!</v>
      </c>
      <c r="I865" s="16" t="e">
        <f>I866+I867+I868</f>
        <v>#REF!</v>
      </c>
      <c r="J865" s="16"/>
    </row>
    <row r="866" spans="1:10" hidden="1" x14ac:dyDescent="0.25">
      <c r="A866" s="49"/>
      <c r="B866" s="50"/>
      <c r="C866" s="50"/>
      <c r="D866" s="85"/>
      <c r="E866" s="6"/>
      <c r="F866" s="5"/>
      <c r="G866" s="5"/>
      <c r="H866" s="6" t="e">
        <f>G866-#REF!</f>
        <v>#REF!</v>
      </c>
      <c r="I866" s="6" t="e">
        <f>F866-#REF!</f>
        <v>#REF!</v>
      </c>
      <c r="J866" s="6"/>
    </row>
    <row r="867" spans="1:10" hidden="1" x14ac:dyDescent="0.25">
      <c r="A867" s="49"/>
      <c r="B867" s="50"/>
      <c r="C867" s="50"/>
      <c r="D867" s="85"/>
      <c r="E867" s="6"/>
      <c r="F867" s="5"/>
      <c r="G867" s="5"/>
      <c r="H867" s="6" t="e">
        <f>G867-#REF!</f>
        <v>#REF!</v>
      </c>
      <c r="I867" s="6" t="e">
        <f>F867-#REF!</f>
        <v>#REF!</v>
      </c>
      <c r="J867" s="6"/>
    </row>
    <row r="868" spans="1:10" ht="15.75" hidden="1" customHeight="1" x14ac:dyDescent="0.25">
      <c r="A868" s="49"/>
      <c r="B868" s="50"/>
      <c r="C868" s="50"/>
      <c r="D868" s="85"/>
      <c r="E868" s="6"/>
      <c r="F868" s="5"/>
      <c r="G868" s="5"/>
      <c r="H868" s="6" t="e">
        <f>G868-#REF!</f>
        <v>#REF!</v>
      </c>
      <c r="I868" s="6" t="e">
        <f>F868-#REF!</f>
        <v>#REF!</v>
      </c>
      <c r="J868" s="6"/>
    </row>
    <row r="869" spans="1:10" hidden="1" x14ac:dyDescent="0.25">
      <c r="A869" s="49"/>
      <c r="B869" s="50"/>
      <c r="C869" s="50"/>
      <c r="D869" s="54"/>
      <c r="E869" s="6"/>
      <c r="F869" s="5"/>
      <c r="G869" s="5"/>
      <c r="H869" s="6" t="e">
        <f>G869-#REF!</f>
        <v>#REF!</v>
      </c>
      <c r="I869" s="6" t="e">
        <f>F869-#REF!</f>
        <v>#REF!</v>
      </c>
      <c r="J869" s="6"/>
    </row>
    <row r="870" spans="1:10" hidden="1" x14ac:dyDescent="0.3">
      <c r="A870" s="18"/>
      <c r="B870" s="19"/>
      <c r="C870" s="19"/>
      <c r="D870" s="15" t="s">
        <v>15</v>
      </c>
      <c r="E870" s="16"/>
      <c r="F870" s="16">
        <f>F871</f>
        <v>0</v>
      </c>
      <c r="G870" s="16">
        <f>G871</f>
        <v>0</v>
      </c>
      <c r="H870" s="16" t="e">
        <f>H871</f>
        <v>#REF!</v>
      </c>
      <c r="I870" s="16" t="e">
        <f>I871</f>
        <v>#REF!</v>
      </c>
      <c r="J870" s="16"/>
    </row>
    <row r="871" spans="1:10" ht="29.25" hidden="1" customHeight="1" x14ac:dyDescent="0.25">
      <c r="A871" s="18"/>
      <c r="B871" s="52"/>
      <c r="C871" s="52"/>
      <c r="D871" s="9"/>
      <c r="E871" s="289"/>
      <c r="F871" s="81"/>
      <c r="G871" s="290"/>
      <c r="H871" s="6" t="e">
        <f>G871-#REF!</f>
        <v>#REF!</v>
      </c>
      <c r="I871" s="6" t="e">
        <f>F871-#REF!</f>
        <v>#REF!</v>
      </c>
      <c r="J871" s="6"/>
    </row>
    <row r="872" spans="1:10" hidden="1" x14ac:dyDescent="0.25">
      <c r="A872" s="49"/>
      <c r="B872" s="50"/>
      <c r="C872" s="292"/>
      <c r="D872" s="54"/>
      <c r="E872" s="168"/>
      <c r="F872" s="80"/>
      <c r="G872" s="80"/>
      <c r="H872" s="168"/>
      <c r="I872" s="168"/>
      <c r="J872" s="168"/>
    </row>
    <row r="873" spans="1:10" hidden="1" x14ac:dyDescent="0.3">
      <c r="A873" s="18" t="s">
        <v>131</v>
      </c>
      <c r="B873" s="18" t="s">
        <v>132</v>
      </c>
      <c r="C873" s="20"/>
      <c r="D873" s="21"/>
      <c r="E873" s="22"/>
      <c r="F873" s="22">
        <f t="shared" ref="F873:I874" si="38">F874</f>
        <v>0</v>
      </c>
      <c r="G873" s="22">
        <f t="shared" si="38"/>
        <v>0</v>
      </c>
      <c r="H873" s="22" t="e">
        <f t="shared" si="38"/>
        <v>#REF!</v>
      </c>
      <c r="I873" s="22" t="e">
        <f t="shared" si="38"/>
        <v>#REF!</v>
      </c>
      <c r="J873" s="22"/>
    </row>
    <row r="874" spans="1:10" hidden="1" x14ac:dyDescent="0.3">
      <c r="A874" s="18"/>
      <c r="B874" s="19"/>
      <c r="C874" s="19"/>
      <c r="D874" s="15" t="s">
        <v>15</v>
      </c>
      <c r="E874" s="16"/>
      <c r="F874" s="16">
        <f t="shared" si="38"/>
        <v>0</v>
      </c>
      <c r="G874" s="16">
        <f t="shared" si="38"/>
        <v>0</v>
      </c>
      <c r="H874" s="16" t="e">
        <f t="shared" si="38"/>
        <v>#REF!</v>
      </c>
      <c r="I874" s="16" t="e">
        <f t="shared" si="38"/>
        <v>#REF!</v>
      </c>
      <c r="J874" s="16"/>
    </row>
    <row r="875" spans="1:10" ht="21.75" hidden="1" customHeight="1" x14ac:dyDescent="0.25">
      <c r="A875" s="18"/>
      <c r="B875" s="52"/>
      <c r="C875" s="52"/>
      <c r="D875" s="88"/>
      <c r="E875" s="289"/>
      <c r="F875" s="81"/>
      <c r="G875" s="290"/>
      <c r="H875" s="6" t="e">
        <f>G875-#REF!</f>
        <v>#REF!</v>
      </c>
      <c r="I875" s="6" t="e">
        <f>F875-#REF!</f>
        <v>#REF!</v>
      </c>
      <c r="J875" s="6"/>
    </row>
    <row r="876" spans="1:10" hidden="1" x14ac:dyDescent="0.25">
      <c r="A876" s="291"/>
      <c r="B876" s="72"/>
      <c r="C876" s="72"/>
      <c r="D876" s="85"/>
      <c r="E876" s="72"/>
      <c r="F876" s="6"/>
      <c r="G876" s="111"/>
      <c r="H876" s="6"/>
      <c r="I876" s="6"/>
      <c r="J876" s="6"/>
    </row>
    <row r="877" spans="1:10" ht="33.75" hidden="1" customHeight="1" x14ac:dyDescent="0.3">
      <c r="A877" s="51" t="s">
        <v>38</v>
      </c>
      <c r="B877" s="75">
        <v>7321</v>
      </c>
      <c r="C877" s="76"/>
      <c r="D877" s="68"/>
      <c r="E877" s="78">
        <f>SUM(E878)</f>
        <v>0</v>
      </c>
      <c r="F877" s="78">
        <f>SUM(F878)</f>
        <v>0</v>
      </c>
      <c r="G877" s="78">
        <f>SUM(G878)</f>
        <v>0</v>
      </c>
      <c r="H877" s="78" t="e">
        <f>SUM(H878)</f>
        <v>#REF!</v>
      </c>
      <c r="I877" s="78" t="e">
        <f>SUM(I878)</f>
        <v>#REF!</v>
      </c>
      <c r="J877" s="78"/>
    </row>
    <row r="878" spans="1:10" ht="21.75" hidden="1" customHeight="1" x14ac:dyDescent="0.3">
      <c r="A878" s="3"/>
      <c r="B878" s="3"/>
      <c r="C878" s="3"/>
      <c r="D878" s="68" t="s">
        <v>14</v>
      </c>
      <c r="E878" s="144"/>
      <c r="F878" s="45">
        <f>SUM(F879:F880)</f>
        <v>0</v>
      </c>
      <c r="G878" s="45">
        <f>SUM(G879:G880)</f>
        <v>0</v>
      </c>
      <c r="H878" s="45" t="e">
        <f>SUM(H879:H880)</f>
        <v>#REF!</v>
      </c>
      <c r="I878" s="45" t="e">
        <f>SUM(I879:I880)</f>
        <v>#REF!</v>
      </c>
      <c r="J878" s="45"/>
    </row>
    <row r="879" spans="1:10" ht="50.25" hidden="1" customHeight="1" x14ac:dyDescent="0.25">
      <c r="A879" s="291"/>
      <c r="B879" s="72"/>
      <c r="C879" s="72"/>
      <c r="D879" s="85"/>
      <c r="E879" s="72"/>
      <c r="F879" s="6"/>
      <c r="G879" s="6"/>
      <c r="H879" s="6" t="e">
        <f>G879-#REF!</f>
        <v>#REF!</v>
      </c>
      <c r="I879" s="6" t="e">
        <f>F879-#REF!</f>
        <v>#REF!</v>
      </c>
      <c r="J879" s="6"/>
    </row>
    <row r="880" spans="1:10" ht="136.5" hidden="1" customHeight="1" x14ac:dyDescent="0.25">
      <c r="A880" s="291"/>
      <c r="B880" s="72"/>
      <c r="C880" s="72"/>
      <c r="D880" s="85"/>
      <c r="E880" s="72"/>
      <c r="F880" s="6"/>
      <c r="G880" s="6"/>
      <c r="H880" s="6" t="e">
        <f>G880-#REF!</f>
        <v>#REF!</v>
      </c>
      <c r="I880" s="6" t="e">
        <f>F880-#REF!</f>
        <v>#REF!</v>
      </c>
      <c r="J880" s="6"/>
    </row>
    <row r="881" spans="1:10" hidden="1" x14ac:dyDescent="0.25">
      <c r="A881" s="291"/>
      <c r="B881" s="72"/>
      <c r="C881" s="72"/>
      <c r="D881" s="293"/>
      <c r="E881" s="72"/>
      <c r="F881" s="6"/>
      <c r="G881" s="111"/>
      <c r="H881" s="6"/>
      <c r="I881" s="6"/>
      <c r="J881" s="6"/>
    </row>
    <row r="882" spans="1:10" hidden="1" x14ac:dyDescent="0.25">
      <c r="A882" s="51" t="s">
        <v>42</v>
      </c>
      <c r="B882" s="67" t="s">
        <v>43</v>
      </c>
      <c r="C882" s="62"/>
      <c r="D882" s="63"/>
      <c r="E882" s="90"/>
      <c r="F882" s="64">
        <f t="shared" ref="F882:I883" si="39">F883</f>
        <v>0</v>
      </c>
      <c r="G882" s="64">
        <f t="shared" si="39"/>
        <v>0</v>
      </c>
      <c r="H882" s="64" t="e">
        <f t="shared" si="39"/>
        <v>#REF!</v>
      </c>
      <c r="I882" s="90" t="e">
        <f t="shared" si="39"/>
        <v>#REF!</v>
      </c>
      <c r="J882" s="90"/>
    </row>
    <row r="883" spans="1:10" hidden="1" x14ac:dyDescent="0.3">
      <c r="A883" s="49"/>
      <c r="B883" s="62"/>
      <c r="C883" s="62"/>
      <c r="D883" s="68" t="s">
        <v>16</v>
      </c>
      <c r="E883" s="91"/>
      <c r="F883" s="10">
        <f t="shared" si="39"/>
        <v>0</v>
      </c>
      <c r="G883" s="10">
        <f t="shared" si="39"/>
        <v>0</v>
      </c>
      <c r="H883" s="10" t="e">
        <f t="shared" si="39"/>
        <v>#REF!</v>
      </c>
      <c r="I883" s="91" t="e">
        <f t="shared" si="39"/>
        <v>#REF!</v>
      </c>
      <c r="J883" s="91"/>
    </row>
    <row r="884" spans="1:10" hidden="1" x14ac:dyDescent="0.25">
      <c r="A884" s="291"/>
      <c r="B884" s="72"/>
      <c r="C884" s="72"/>
      <c r="D884" s="9"/>
      <c r="E884" s="72"/>
      <c r="F884" s="6"/>
      <c r="G884" s="111"/>
      <c r="H884" s="6" t="e">
        <f>G884-#REF!</f>
        <v>#REF!</v>
      </c>
      <c r="I884" s="6" t="e">
        <f>F884-#REF!</f>
        <v>#REF!</v>
      </c>
      <c r="J884" s="6"/>
    </row>
    <row r="885" spans="1:10" hidden="1" x14ac:dyDescent="0.25">
      <c r="A885" s="291"/>
      <c r="B885" s="72"/>
      <c r="C885" s="72"/>
      <c r="D885" s="293"/>
      <c r="E885" s="72"/>
      <c r="F885" s="6"/>
      <c r="G885" s="111"/>
      <c r="H885" s="6"/>
      <c r="I885" s="6"/>
      <c r="J885" s="6"/>
    </row>
    <row r="886" spans="1:10" hidden="1" x14ac:dyDescent="0.25">
      <c r="A886" s="18" t="s">
        <v>50</v>
      </c>
      <c r="B886" s="84">
        <v>7370</v>
      </c>
      <c r="C886" s="95"/>
      <c r="D886" s="63"/>
      <c r="E886" s="64">
        <f>E887+E889</f>
        <v>0</v>
      </c>
      <c r="F886" s="64">
        <f>F887+F889</f>
        <v>0</v>
      </c>
      <c r="G886" s="64">
        <f>G887+G889</f>
        <v>0</v>
      </c>
      <c r="H886" s="64" t="e">
        <f>H887+H889</f>
        <v>#REF!</v>
      </c>
      <c r="I886" s="64" t="e">
        <f>I887+I889</f>
        <v>#REF!</v>
      </c>
      <c r="J886" s="64"/>
    </row>
    <row r="887" spans="1:10" hidden="1" x14ac:dyDescent="0.3">
      <c r="A887" s="96"/>
      <c r="B887" s="97"/>
      <c r="C887" s="95"/>
      <c r="D887" s="68" t="s">
        <v>16</v>
      </c>
      <c r="E887" s="10">
        <f>E888</f>
        <v>0</v>
      </c>
      <c r="F887" s="10">
        <f>F888</f>
        <v>0</v>
      </c>
      <c r="G887" s="10">
        <f>G888</f>
        <v>0</v>
      </c>
      <c r="H887" s="10" t="e">
        <f>SUM(H888)</f>
        <v>#REF!</v>
      </c>
      <c r="I887" s="10" t="e">
        <f>SUM(I888)</f>
        <v>#REF!</v>
      </c>
      <c r="J887" s="10"/>
    </row>
    <row r="888" spans="1:10" hidden="1" x14ac:dyDescent="0.25">
      <c r="A888" s="291"/>
      <c r="B888" s="72"/>
      <c r="C888" s="72"/>
      <c r="D888" s="85"/>
      <c r="E888" s="72"/>
      <c r="F888" s="6"/>
      <c r="G888" s="111"/>
      <c r="H888" s="6" t="e">
        <f>G888-#REF!</f>
        <v>#REF!</v>
      </c>
      <c r="I888" s="6" t="e">
        <f>F888-#REF!</f>
        <v>#REF!</v>
      </c>
      <c r="J888" s="6"/>
    </row>
    <row r="889" spans="1:10" ht="12" hidden="1" customHeight="1" x14ac:dyDescent="0.25">
      <c r="A889" s="291"/>
      <c r="B889" s="72"/>
      <c r="C889" s="72"/>
      <c r="D889" s="293"/>
      <c r="E889" s="72"/>
      <c r="F889" s="6"/>
      <c r="G889" s="111"/>
      <c r="H889" s="6"/>
      <c r="I889" s="6"/>
      <c r="J889" s="6"/>
    </row>
    <row r="890" spans="1:10" hidden="1" x14ac:dyDescent="0.25">
      <c r="A890" s="155" t="s">
        <v>133</v>
      </c>
      <c r="B890" s="155"/>
      <c r="C890" s="155"/>
      <c r="D890" s="12" t="s">
        <v>59</v>
      </c>
      <c r="E890" s="126"/>
      <c r="F890" s="126">
        <f>F891+F896+F901</f>
        <v>0</v>
      </c>
      <c r="G890" s="126">
        <f>G891+G896+G901</f>
        <v>0</v>
      </c>
      <c r="H890" s="126" t="e">
        <f>H891+H896+H901</f>
        <v>#REF!</v>
      </c>
      <c r="I890" s="126" t="e">
        <f>I891+I896+I901</f>
        <v>#REF!</v>
      </c>
      <c r="J890" s="126"/>
    </row>
    <row r="891" spans="1:10" hidden="1" x14ac:dyDescent="0.25">
      <c r="A891" s="146" t="s">
        <v>60</v>
      </c>
      <c r="B891" s="155" t="s">
        <v>61</v>
      </c>
      <c r="C891" s="155"/>
      <c r="D891" s="12"/>
      <c r="E891" s="126"/>
      <c r="F891" s="126">
        <f t="shared" ref="F891:I892" si="40">F892</f>
        <v>0</v>
      </c>
      <c r="G891" s="126">
        <f t="shared" si="40"/>
        <v>0</v>
      </c>
      <c r="H891" s="126" t="e">
        <f t="shared" si="40"/>
        <v>#REF!</v>
      </c>
      <c r="I891" s="126" t="e">
        <f t="shared" si="40"/>
        <v>#REF!</v>
      </c>
      <c r="J891" s="126"/>
    </row>
    <row r="892" spans="1:10" hidden="1" x14ac:dyDescent="0.25">
      <c r="A892" s="155"/>
      <c r="B892" s="155"/>
      <c r="C892" s="155"/>
      <c r="D892" s="121" t="s">
        <v>15</v>
      </c>
      <c r="E892" s="69"/>
      <c r="F892" s="126">
        <f t="shared" si="40"/>
        <v>0</v>
      </c>
      <c r="G892" s="126">
        <f t="shared" si="40"/>
        <v>0</v>
      </c>
      <c r="H892" s="126" t="e">
        <f t="shared" si="40"/>
        <v>#REF!</v>
      </c>
      <c r="I892" s="126" t="e">
        <f t="shared" si="40"/>
        <v>#REF!</v>
      </c>
      <c r="J892" s="126"/>
    </row>
    <row r="893" spans="1:10" ht="21.75" hidden="1" customHeight="1" x14ac:dyDescent="0.25">
      <c r="A893" s="155"/>
      <c r="B893" s="155"/>
      <c r="C893" s="155"/>
      <c r="D893" s="88"/>
      <c r="E893" s="6"/>
      <c r="F893" s="6"/>
      <c r="G893" s="6"/>
      <c r="H893" s="6" t="e">
        <f>G893-#REF!</f>
        <v>#REF!</v>
      </c>
      <c r="I893" s="6" t="e">
        <f>F893-#REF!</f>
        <v>#REF!</v>
      </c>
      <c r="J893" s="6"/>
    </row>
    <row r="894" spans="1:10" hidden="1" x14ac:dyDescent="0.25">
      <c r="A894" s="155"/>
      <c r="B894" s="155"/>
      <c r="C894" s="155"/>
      <c r="D894" s="294"/>
      <c r="E894" s="6"/>
      <c r="F894" s="6"/>
      <c r="G894" s="6"/>
      <c r="H894" s="6"/>
      <c r="I894" s="6"/>
      <c r="J894" s="6"/>
    </row>
    <row r="895" spans="1:10" hidden="1" x14ac:dyDescent="0.25">
      <c r="A895" s="155"/>
      <c r="B895" s="155"/>
      <c r="C895" s="155"/>
      <c r="D895" s="294"/>
      <c r="E895" s="6"/>
      <c r="F895" s="126"/>
      <c r="G895" s="126"/>
      <c r="H895" s="126"/>
      <c r="I895" s="126"/>
      <c r="J895" s="126"/>
    </row>
    <row r="896" spans="1:10" ht="30.75" hidden="1" customHeight="1" x14ac:dyDescent="0.25">
      <c r="A896" s="146" t="s">
        <v>62</v>
      </c>
      <c r="B896" s="84">
        <v>1010</v>
      </c>
      <c r="C896" s="155"/>
      <c r="D896" s="294"/>
      <c r="E896" s="6"/>
      <c r="F896" s="126">
        <f>F897</f>
        <v>0</v>
      </c>
      <c r="G896" s="126">
        <f>G897</f>
        <v>0</v>
      </c>
      <c r="H896" s="126" t="e">
        <f>H897</f>
        <v>#REF!</v>
      </c>
      <c r="I896" s="126" t="e">
        <f>I897</f>
        <v>#REF!</v>
      </c>
      <c r="J896" s="126"/>
    </row>
    <row r="897" spans="1:10" hidden="1" x14ac:dyDescent="0.25">
      <c r="A897" s="155"/>
      <c r="B897" s="155"/>
      <c r="C897" s="155"/>
      <c r="D897" s="121" t="s">
        <v>13</v>
      </c>
      <c r="E897" s="69"/>
      <c r="F897" s="126">
        <f>F898+F899</f>
        <v>0</v>
      </c>
      <c r="G897" s="126">
        <f>G898+G899</f>
        <v>0</v>
      </c>
      <c r="H897" s="126" t="e">
        <f>H898+H899</f>
        <v>#REF!</v>
      </c>
      <c r="I897" s="126" t="e">
        <f>I898+I899</f>
        <v>#REF!</v>
      </c>
      <c r="J897" s="126"/>
    </row>
    <row r="898" spans="1:10" hidden="1" x14ac:dyDescent="0.25">
      <c r="A898" s="155"/>
      <c r="B898" s="155"/>
      <c r="C898" s="155"/>
      <c r="D898" s="85"/>
      <c r="E898" s="6"/>
      <c r="F898" s="190"/>
      <c r="G898" s="190"/>
      <c r="H898" s="190" t="e">
        <f>G898-#REF!</f>
        <v>#REF!</v>
      </c>
      <c r="I898" s="190" t="e">
        <f>F898-#REF!</f>
        <v>#REF!</v>
      </c>
      <c r="J898" s="190"/>
    </row>
    <row r="899" spans="1:10" ht="13.5" hidden="1" customHeight="1" x14ac:dyDescent="0.3">
      <c r="A899" s="155"/>
      <c r="B899" s="155"/>
      <c r="C899" s="155"/>
      <c r="D899" s="151"/>
      <c r="E899" s="6"/>
      <c r="F899" s="190"/>
      <c r="G899" s="190"/>
      <c r="H899" s="190" t="e">
        <f>G899-#REF!</f>
        <v>#REF!</v>
      </c>
      <c r="I899" s="190" t="e">
        <f>F899-#REF!</f>
        <v>#REF!</v>
      </c>
      <c r="J899" s="190"/>
    </row>
    <row r="900" spans="1:10" ht="14.25" hidden="1" customHeight="1" x14ac:dyDescent="0.25">
      <c r="A900" s="155"/>
      <c r="B900" s="155"/>
      <c r="C900" s="155"/>
      <c r="D900" s="294"/>
      <c r="E900" s="6"/>
      <c r="F900" s="190"/>
      <c r="G900" s="190"/>
      <c r="H900" s="190"/>
      <c r="I900" s="190"/>
      <c r="J900" s="190"/>
    </row>
    <row r="901" spans="1:10" ht="21.75" hidden="1" customHeight="1" x14ac:dyDescent="0.25">
      <c r="A901" s="37" t="s">
        <v>64</v>
      </c>
      <c r="B901" s="84">
        <v>1021</v>
      </c>
      <c r="C901" s="155"/>
      <c r="D901" s="294"/>
      <c r="E901" s="6"/>
      <c r="F901" s="126">
        <f>F902+F906</f>
        <v>0</v>
      </c>
      <c r="G901" s="126">
        <f>G902+G906</f>
        <v>0</v>
      </c>
      <c r="H901" s="126" t="e">
        <f>H902+H906</f>
        <v>#REF!</v>
      </c>
      <c r="I901" s="126" t="e">
        <f>I902+I906</f>
        <v>#REF!</v>
      </c>
      <c r="J901" s="126"/>
    </row>
    <row r="902" spans="1:10" ht="21.75" hidden="1" customHeight="1" x14ac:dyDescent="0.25">
      <c r="A902" s="84"/>
      <c r="B902" s="84"/>
      <c r="C902" s="155"/>
      <c r="D902" s="161" t="s">
        <v>13</v>
      </c>
      <c r="E902" s="69"/>
      <c r="F902" s="126">
        <f>SUM(F903:F908)</f>
        <v>0</v>
      </c>
      <c r="G902" s="126">
        <f>SUM(G903:G908)</f>
        <v>0</v>
      </c>
      <c r="H902" s="126" t="e">
        <f>SUM(H903:H908)</f>
        <v>#REF!</v>
      </c>
      <c r="I902" s="126" t="e">
        <f>SUM(I903:I908)</f>
        <v>#REF!</v>
      </c>
      <c r="J902" s="126"/>
    </row>
    <row r="903" spans="1:10" ht="21.75" hidden="1" customHeight="1" x14ac:dyDescent="0.25">
      <c r="A903" s="146"/>
      <c r="B903" s="84"/>
      <c r="C903" s="155"/>
      <c r="D903" s="85"/>
      <c r="E903" s="6"/>
      <c r="F903" s="190"/>
      <c r="G903" s="190"/>
      <c r="H903" s="190" t="e">
        <f>G903-#REF!</f>
        <v>#REF!</v>
      </c>
      <c r="I903" s="190" t="e">
        <f>F903-#REF!</f>
        <v>#REF!</v>
      </c>
      <c r="J903" s="190"/>
    </row>
    <row r="904" spans="1:10" hidden="1" x14ac:dyDescent="0.25">
      <c r="A904" s="146"/>
      <c r="B904" s="84"/>
      <c r="C904" s="155"/>
      <c r="D904" s="295"/>
      <c r="E904" s="6"/>
      <c r="F904" s="190"/>
      <c r="G904" s="190"/>
      <c r="H904" s="190" t="e">
        <f>G904-#REF!</f>
        <v>#REF!</v>
      </c>
      <c r="I904" s="190" t="e">
        <f>F904-#REF!</f>
        <v>#REF!</v>
      </c>
      <c r="J904" s="190"/>
    </row>
    <row r="905" spans="1:10" ht="13.5" hidden="1" customHeight="1" x14ac:dyDescent="0.25">
      <c r="A905" s="146"/>
      <c r="B905" s="84"/>
      <c r="C905" s="155"/>
      <c r="D905" s="294"/>
      <c r="E905" s="6"/>
      <c r="F905" s="126"/>
      <c r="G905" s="126"/>
      <c r="H905" s="126"/>
      <c r="I905" s="126"/>
      <c r="J905" s="126"/>
    </row>
    <row r="906" spans="1:10" hidden="1" x14ac:dyDescent="0.25">
      <c r="A906" s="84"/>
      <c r="B906" s="84"/>
      <c r="C906" s="155"/>
      <c r="D906" s="161" t="s">
        <v>15</v>
      </c>
      <c r="E906" s="69"/>
      <c r="F906" s="126">
        <f>SUM(F907:F912)</f>
        <v>0</v>
      </c>
      <c r="G906" s="126">
        <f>SUM(G907:G912)</f>
        <v>0</v>
      </c>
      <c r="H906" s="126" t="e">
        <f>SUM(H907:H912)</f>
        <v>#REF!</v>
      </c>
      <c r="I906" s="126" t="e">
        <f>SUM(I907:I912)</f>
        <v>#REF!</v>
      </c>
      <c r="J906" s="126"/>
    </row>
    <row r="907" spans="1:10" hidden="1" x14ac:dyDescent="0.25">
      <c r="A907" s="84"/>
      <c r="B907" s="84"/>
      <c r="C907" s="155"/>
      <c r="D907" s="55"/>
      <c r="E907" s="6"/>
      <c r="F907" s="6"/>
      <c r="G907" s="6"/>
      <c r="H907" s="6" t="e">
        <f>G907-#REF!</f>
        <v>#REF!</v>
      </c>
      <c r="I907" s="6" t="e">
        <f>F907-#REF!</f>
        <v>#REF!</v>
      </c>
      <c r="J907" s="6"/>
    </row>
    <row r="908" spans="1:10" hidden="1" x14ac:dyDescent="0.25">
      <c r="A908" s="84"/>
      <c r="B908" s="84"/>
      <c r="C908" s="155"/>
      <c r="D908" s="55"/>
      <c r="E908" s="6"/>
      <c r="F908" s="6"/>
      <c r="G908" s="6"/>
      <c r="H908" s="6" t="e">
        <f>G908-#REF!</f>
        <v>#REF!</v>
      </c>
      <c r="I908" s="6" t="e">
        <f>F908-#REF!</f>
        <v>#REF!</v>
      </c>
      <c r="J908" s="6"/>
    </row>
    <row r="909" spans="1:10" hidden="1" x14ac:dyDescent="0.25">
      <c r="A909" s="84"/>
      <c r="B909" s="84"/>
      <c r="C909" s="155"/>
      <c r="D909" s="296"/>
      <c r="E909" s="6"/>
      <c r="F909" s="6"/>
      <c r="G909" s="6"/>
      <c r="H909" s="6" t="e">
        <f>G909-#REF!</f>
        <v>#REF!</v>
      </c>
      <c r="I909" s="6" t="e">
        <f>F909-#REF!</f>
        <v>#REF!</v>
      </c>
      <c r="J909" s="6"/>
    </row>
    <row r="910" spans="1:10" hidden="1" x14ac:dyDescent="0.25">
      <c r="A910" s="84"/>
      <c r="B910" s="84"/>
      <c r="C910" s="155"/>
      <c r="D910" s="297"/>
      <c r="E910" s="6"/>
      <c r="F910" s="6"/>
      <c r="G910" s="6"/>
      <c r="H910" s="6" t="e">
        <f>G910-#REF!</f>
        <v>#REF!</v>
      </c>
      <c r="I910" s="6" t="e">
        <f>F910-#REF!</f>
        <v>#REF!</v>
      </c>
      <c r="J910" s="6"/>
    </row>
    <row r="911" spans="1:10" hidden="1" x14ac:dyDescent="0.25">
      <c r="A911" s="155"/>
      <c r="B911" s="155"/>
      <c r="C911" s="155"/>
      <c r="D911" s="297"/>
      <c r="E911" s="6"/>
      <c r="F911" s="6"/>
      <c r="G911" s="6"/>
      <c r="H911" s="6" t="e">
        <f>G911-#REF!</f>
        <v>#REF!</v>
      </c>
      <c r="I911" s="6" t="e">
        <f>F911-#REF!</f>
        <v>#REF!</v>
      </c>
      <c r="J911" s="6"/>
    </row>
    <row r="912" spans="1:10" ht="12" hidden="1" customHeight="1" x14ac:dyDescent="0.25">
      <c r="A912" s="155"/>
      <c r="B912" s="155"/>
      <c r="C912" s="155"/>
      <c r="D912" s="54"/>
      <c r="E912" s="6"/>
      <c r="F912" s="6"/>
      <c r="G912" s="6"/>
      <c r="H912" s="6" t="e">
        <f>G912-#REF!</f>
        <v>#REF!</v>
      </c>
      <c r="I912" s="6" t="e">
        <f>F912-#REF!</f>
        <v>#REF!</v>
      </c>
      <c r="J912" s="6"/>
    </row>
    <row r="913" spans="1:10" hidden="1" x14ac:dyDescent="0.25">
      <c r="A913" s="84" t="s">
        <v>134</v>
      </c>
      <c r="B913" s="84"/>
      <c r="C913" s="84"/>
      <c r="D913" s="121" t="s">
        <v>135</v>
      </c>
      <c r="E913" s="19">
        <f>E925</f>
        <v>0</v>
      </c>
      <c r="F913" s="19">
        <f>F914+F925</f>
        <v>0</v>
      </c>
      <c r="G913" s="19">
        <f>G914+G925</f>
        <v>0</v>
      </c>
      <c r="H913" s="19" t="e">
        <f>H914+H925</f>
        <v>#REF!</v>
      </c>
      <c r="I913" s="19" t="e">
        <f>I914+I925</f>
        <v>#REF!</v>
      </c>
      <c r="J913" s="19"/>
    </row>
    <row r="914" spans="1:10" hidden="1" x14ac:dyDescent="0.25">
      <c r="A914" s="84">
        <v>1011080</v>
      </c>
      <c r="B914" s="84">
        <v>1080</v>
      </c>
      <c r="C914" s="84"/>
      <c r="D914" s="121"/>
      <c r="E914" s="19"/>
      <c r="F914" s="126">
        <f>F915</f>
        <v>0</v>
      </c>
      <c r="G914" s="126">
        <f>G915</f>
        <v>0</v>
      </c>
      <c r="H914" s="126" t="e">
        <f>H915</f>
        <v>#REF!</v>
      </c>
      <c r="I914" s="126" t="e">
        <f>I915</f>
        <v>#REF!</v>
      </c>
      <c r="J914" s="126"/>
    </row>
    <row r="915" spans="1:10" hidden="1" x14ac:dyDescent="0.3">
      <c r="A915" s="279"/>
      <c r="B915" s="279"/>
      <c r="C915" s="298"/>
      <c r="D915" s="68" t="s">
        <v>15</v>
      </c>
      <c r="E915" s="299"/>
      <c r="F915" s="126">
        <f>SUM(F916:F917)</f>
        <v>0</v>
      </c>
      <c r="G915" s="126">
        <f>SUM(G916:G917)</f>
        <v>0</v>
      </c>
      <c r="H915" s="126" t="e">
        <f>SUM(H916:H917)</f>
        <v>#REF!</v>
      </c>
      <c r="I915" s="126" t="e">
        <f>SUM(I916:I917)</f>
        <v>#REF!</v>
      </c>
      <c r="J915" s="126"/>
    </row>
    <row r="916" spans="1:10" hidden="1" x14ac:dyDescent="0.25">
      <c r="A916" s="84"/>
      <c r="B916" s="84"/>
      <c r="C916" s="84"/>
      <c r="D916" s="9"/>
      <c r="E916" s="19"/>
      <c r="F916" s="6"/>
      <c r="G916" s="6"/>
      <c r="H916" s="6" t="e">
        <f>G916-#REF!</f>
        <v>#REF!</v>
      </c>
      <c r="I916" s="7" t="e">
        <f>F916-#REF!</f>
        <v>#REF!</v>
      </c>
      <c r="J916" s="7"/>
    </row>
    <row r="917" spans="1:10" ht="14.25" hidden="1" customHeight="1" x14ac:dyDescent="0.25">
      <c r="A917" s="84"/>
      <c r="B917" s="84"/>
      <c r="C917" s="84"/>
      <c r="D917" s="121"/>
      <c r="E917" s="19"/>
      <c r="F917" s="45"/>
      <c r="G917" s="45"/>
      <c r="H917" s="45"/>
      <c r="I917" s="69"/>
      <c r="J917" s="69"/>
    </row>
    <row r="918" spans="1:10" hidden="1" x14ac:dyDescent="0.25">
      <c r="A918" s="176">
        <v>1014060</v>
      </c>
      <c r="B918" s="155">
        <v>4060</v>
      </c>
      <c r="C918" s="155"/>
      <c r="D918" s="12"/>
      <c r="E918" s="126"/>
      <c r="F918" s="45">
        <f>F922+F919</f>
        <v>0</v>
      </c>
      <c r="G918" s="45">
        <f>G922+G919</f>
        <v>0</v>
      </c>
      <c r="H918" s="45" t="e">
        <f>H922+H919</f>
        <v>#REF!</v>
      </c>
      <c r="I918" s="45" t="e">
        <f>I922+I919</f>
        <v>#REF!</v>
      </c>
      <c r="J918" s="45"/>
    </row>
    <row r="919" spans="1:10" hidden="1" x14ac:dyDescent="0.3">
      <c r="A919" s="279"/>
      <c r="B919" s="279"/>
      <c r="C919" s="298"/>
      <c r="D919" s="68" t="s">
        <v>22</v>
      </c>
      <c r="E919" s="299"/>
      <c r="F919" s="45">
        <f>SUM(F920:F921)</f>
        <v>0</v>
      </c>
      <c r="G919" s="45">
        <f>SUM(G920:G921)</f>
        <v>0</v>
      </c>
      <c r="H919" s="45" t="e">
        <f>SUM(H920:H921)</f>
        <v>#REF!</v>
      </c>
      <c r="I919" s="45" t="e">
        <f>SUM(I920:I921)</f>
        <v>#REF!</v>
      </c>
      <c r="J919" s="45"/>
    </row>
    <row r="920" spans="1:10" hidden="1" x14ac:dyDescent="0.25">
      <c r="A920" s="176"/>
      <c r="B920" s="155"/>
      <c r="C920" s="155"/>
      <c r="D920" s="9"/>
      <c r="E920" s="126"/>
      <c r="F920" s="6"/>
      <c r="G920" s="6"/>
      <c r="H920" s="6" t="e">
        <f>G920-#REF!</f>
        <v>#REF!</v>
      </c>
      <c r="I920" s="6" t="e">
        <f>F920-#REF!</f>
        <v>#REF!</v>
      </c>
      <c r="J920" s="6"/>
    </row>
    <row r="921" spans="1:10" hidden="1" x14ac:dyDescent="0.25">
      <c r="A921" s="176"/>
      <c r="B921" s="155"/>
      <c r="C921" s="155"/>
      <c r="D921" s="12"/>
      <c r="E921" s="126"/>
      <c r="F921" s="45"/>
      <c r="G921" s="45"/>
      <c r="H921" s="45"/>
      <c r="I921" s="45"/>
      <c r="J921" s="45"/>
    </row>
    <row r="922" spans="1:10" hidden="1" x14ac:dyDescent="0.3">
      <c r="A922" s="279"/>
      <c r="B922" s="279"/>
      <c r="C922" s="298"/>
      <c r="D922" s="68" t="s">
        <v>15</v>
      </c>
      <c r="E922" s="299"/>
      <c r="F922" s="45">
        <f>SUM(F923:F924)</f>
        <v>0</v>
      </c>
      <c r="G922" s="45">
        <f>SUM(G923:G924)</f>
        <v>0</v>
      </c>
      <c r="H922" s="45" t="e">
        <f>SUM(H923:H924)</f>
        <v>#REF!</v>
      </c>
      <c r="I922" s="45" t="e">
        <f>SUM(I923:I924)</f>
        <v>#REF!</v>
      </c>
      <c r="J922" s="45"/>
    </row>
    <row r="923" spans="1:10" hidden="1" x14ac:dyDescent="0.25">
      <c r="A923" s="279"/>
      <c r="B923" s="279"/>
      <c r="C923" s="298"/>
      <c r="D923" s="9"/>
      <c r="E923" s="6"/>
      <c r="F923" s="6"/>
      <c r="G923" s="6"/>
      <c r="H923" s="74" t="e">
        <f>G923-#REF!</f>
        <v>#REF!</v>
      </c>
      <c r="I923" s="74" t="e">
        <f>F923-#REF!</f>
        <v>#REF!</v>
      </c>
      <c r="J923" s="74"/>
    </row>
    <row r="924" spans="1:10" hidden="1" x14ac:dyDescent="0.25">
      <c r="A924" s="279"/>
      <c r="B924" s="279"/>
      <c r="C924" s="298"/>
      <c r="D924" s="9"/>
      <c r="E924" s="6"/>
      <c r="F924" s="6"/>
      <c r="G924" s="6"/>
      <c r="H924" s="74" t="e">
        <f>G924-#REF!</f>
        <v>#REF!</v>
      </c>
      <c r="I924" s="74" t="e">
        <f>F924-#REF!</f>
        <v>#REF!</v>
      </c>
      <c r="J924" s="74"/>
    </row>
    <row r="925" spans="1:10" hidden="1" x14ac:dyDescent="0.25">
      <c r="A925" s="37" t="s">
        <v>83</v>
      </c>
      <c r="B925" s="84">
        <v>4082</v>
      </c>
      <c r="C925" s="273" t="s">
        <v>136</v>
      </c>
      <c r="D925" s="12"/>
      <c r="E925" s="126">
        <f>E926</f>
        <v>0</v>
      </c>
      <c r="F925" s="45">
        <f>F926</f>
        <v>0</v>
      </c>
      <c r="G925" s="45">
        <f>G926</f>
        <v>0</v>
      </c>
      <c r="H925" s="45" t="e">
        <f>H926</f>
        <v>#REF!</v>
      </c>
      <c r="I925" s="45" t="e">
        <f>I926</f>
        <v>#REF!</v>
      </c>
      <c r="J925" s="45"/>
    </row>
    <row r="926" spans="1:10" hidden="1" x14ac:dyDescent="0.3">
      <c r="A926" s="125"/>
      <c r="B926" s="125"/>
      <c r="C926" s="125"/>
      <c r="D926" s="68" t="s">
        <v>13</v>
      </c>
      <c r="E926" s="132">
        <f>SUM(E927)</f>
        <v>0</v>
      </c>
      <c r="F926" s="132">
        <f>SUM(F927)</f>
        <v>0</v>
      </c>
      <c r="G926" s="132">
        <f>SUM(G927)</f>
        <v>0</v>
      </c>
      <c r="H926" s="132" t="e">
        <f>SUM(H927:H927)</f>
        <v>#REF!</v>
      </c>
      <c r="I926" s="132" t="e">
        <f>SUM(I927:I927)</f>
        <v>#REF!</v>
      </c>
      <c r="J926" s="132"/>
    </row>
    <row r="927" spans="1:10" hidden="1" x14ac:dyDescent="0.25">
      <c r="A927" s="279"/>
      <c r="B927" s="279"/>
      <c r="C927" s="298"/>
      <c r="D927" s="9"/>
      <c r="E927" s="6"/>
      <c r="F927" s="6"/>
      <c r="G927" s="6"/>
      <c r="H927" s="74" t="e">
        <f>G927-#REF!</f>
        <v>#REF!</v>
      </c>
      <c r="I927" s="74" t="e">
        <f>F927-#REF!</f>
        <v>#REF!</v>
      </c>
      <c r="J927" s="74"/>
    </row>
    <row r="928" spans="1:10" ht="13.5" hidden="1" customHeight="1" x14ac:dyDescent="0.25">
      <c r="A928" s="279"/>
      <c r="B928" s="279"/>
      <c r="C928" s="298"/>
      <c r="D928" s="9"/>
      <c r="E928" s="6"/>
      <c r="F928" s="190"/>
      <c r="G928" s="190"/>
      <c r="H928" s="300"/>
      <c r="I928" s="300"/>
      <c r="J928" s="300"/>
    </row>
    <row r="929" spans="1:10" hidden="1" x14ac:dyDescent="0.3">
      <c r="A929" s="176" t="s">
        <v>87</v>
      </c>
      <c r="B929" s="177"/>
      <c r="C929" s="155"/>
      <c r="D929" s="12" t="s">
        <v>88</v>
      </c>
      <c r="E929" s="178"/>
      <c r="F929" s="178">
        <f>F934+F941</f>
        <v>0</v>
      </c>
      <c r="G929" s="178">
        <f>G934+G941</f>
        <v>0</v>
      </c>
      <c r="H929" s="178">
        <f>H934+H941</f>
        <v>0</v>
      </c>
      <c r="I929" s="178">
        <f>I934+I941</f>
        <v>0</v>
      </c>
      <c r="J929" s="178"/>
    </row>
    <row r="930" spans="1:10" hidden="1" x14ac:dyDescent="0.25">
      <c r="A930" s="125">
        <v>3116013</v>
      </c>
      <c r="B930" s="125">
        <v>6013</v>
      </c>
      <c r="C930" s="125"/>
      <c r="D930" s="130"/>
      <c r="E930" s="126"/>
      <c r="F930" s="126">
        <f>F931</f>
        <v>0</v>
      </c>
      <c r="G930" s="126">
        <f>G931</f>
        <v>0</v>
      </c>
      <c r="H930" s="126" t="e">
        <f>H931</f>
        <v>#REF!</v>
      </c>
      <c r="I930" s="126" t="e">
        <f>I931</f>
        <v>#REF!</v>
      </c>
      <c r="J930" s="126"/>
    </row>
    <row r="931" spans="1:10" hidden="1" x14ac:dyDescent="0.3">
      <c r="A931" s="125"/>
      <c r="B931" s="125"/>
      <c r="C931" s="125"/>
      <c r="D931" s="68" t="s">
        <v>22</v>
      </c>
      <c r="E931" s="126"/>
      <c r="F931" s="45">
        <f>F932+F933</f>
        <v>0</v>
      </c>
      <c r="G931" s="45">
        <f>G932+G933</f>
        <v>0</v>
      </c>
      <c r="H931" s="45" t="e">
        <f>H932+H933</f>
        <v>#REF!</v>
      </c>
      <c r="I931" s="45" t="e">
        <f>I932+I933</f>
        <v>#REF!</v>
      </c>
      <c r="J931" s="45"/>
    </row>
    <row r="932" spans="1:10" ht="55.5" hidden="1" customHeight="1" x14ac:dyDescent="0.25">
      <c r="A932" s="125"/>
      <c r="B932" s="125"/>
      <c r="C932" s="125"/>
      <c r="D932" s="8"/>
      <c r="E932" s="126"/>
      <c r="F932" s="6"/>
      <c r="G932" s="6"/>
      <c r="H932" s="6" t="e">
        <f>G932-#REF!</f>
        <v>#REF!</v>
      </c>
      <c r="I932" s="6" t="e">
        <f>F932-#REF!</f>
        <v>#REF!</v>
      </c>
      <c r="J932" s="6"/>
    </row>
    <row r="933" spans="1:10" hidden="1" x14ac:dyDescent="0.25">
      <c r="A933" s="125"/>
      <c r="B933" s="125"/>
      <c r="C933" s="125"/>
      <c r="D933" s="130"/>
      <c r="E933" s="126"/>
      <c r="F933" s="126"/>
      <c r="G933" s="126"/>
      <c r="H933" s="126"/>
      <c r="I933" s="126"/>
      <c r="J933" s="126"/>
    </row>
    <row r="934" spans="1:10" hidden="1" x14ac:dyDescent="0.3">
      <c r="A934" s="125">
        <v>3116030</v>
      </c>
      <c r="B934" s="125">
        <v>6030</v>
      </c>
      <c r="C934" s="125"/>
      <c r="D934" s="68"/>
      <c r="E934" s="126"/>
      <c r="F934" s="45">
        <f>F935</f>
        <v>0</v>
      </c>
      <c r="G934" s="45">
        <f>G935</f>
        <v>0</v>
      </c>
      <c r="H934" s="45">
        <f>H935</f>
        <v>0</v>
      </c>
      <c r="I934" s="45">
        <f>I935</f>
        <v>0</v>
      </c>
      <c r="J934" s="45"/>
    </row>
    <row r="935" spans="1:10" hidden="1" x14ac:dyDescent="0.3">
      <c r="A935" s="125"/>
      <c r="B935" s="125"/>
      <c r="C935" s="125"/>
      <c r="D935" s="68" t="s">
        <v>15</v>
      </c>
      <c r="E935" s="126"/>
      <c r="F935" s="45">
        <f>SUM(F936:F939)</f>
        <v>0</v>
      </c>
      <c r="G935" s="45">
        <f>SUM(G936:G939)</f>
        <v>0</v>
      </c>
      <c r="H935" s="45">
        <f>SUM(H936:H939)</f>
        <v>0</v>
      </c>
      <c r="I935" s="45">
        <f>SUM(I936:I939)</f>
        <v>0</v>
      </c>
      <c r="J935" s="45"/>
    </row>
    <row r="936" spans="1:10" hidden="1" x14ac:dyDescent="0.25">
      <c r="A936" s="279"/>
      <c r="B936" s="279"/>
      <c r="C936" s="298"/>
      <c r="D936" s="9"/>
      <c r="E936" s="6"/>
      <c r="F936" s="6"/>
      <c r="G936" s="6"/>
      <c r="H936" s="74"/>
      <c r="I936" s="74"/>
      <c r="J936" s="74"/>
    </row>
    <row r="937" spans="1:10" hidden="1" x14ac:dyDescent="0.25">
      <c r="A937" s="279"/>
      <c r="B937" s="279"/>
      <c r="C937" s="298"/>
      <c r="D937" s="9"/>
      <c r="E937" s="6"/>
      <c r="F937" s="6"/>
      <c r="G937" s="6"/>
      <c r="H937" s="74"/>
      <c r="I937" s="74"/>
      <c r="J937" s="74"/>
    </row>
    <row r="938" spans="1:10" ht="24" hidden="1" customHeight="1" x14ac:dyDescent="0.25">
      <c r="A938" s="279"/>
      <c r="B938" s="279"/>
      <c r="C938" s="298"/>
      <c r="D938" s="9"/>
      <c r="E938" s="6"/>
      <c r="F938" s="6"/>
      <c r="G938" s="6"/>
      <c r="H938" s="74"/>
      <c r="I938" s="74"/>
      <c r="J938" s="74"/>
    </row>
    <row r="939" spans="1:10" ht="24" hidden="1" customHeight="1" x14ac:dyDescent="0.25">
      <c r="A939" s="279"/>
      <c r="B939" s="279"/>
      <c r="C939" s="298"/>
      <c r="D939" s="9"/>
      <c r="E939" s="6"/>
      <c r="F939" s="6"/>
      <c r="G939" s="6"/>
      <c r="H939" s="74"/>
      <c r="I939" s="74"/>
      <c r="J939" s="74"/>
    </row>
    <row r="940" spans="1:10" hidden="1" x14ac:dyDescent="0.25">
      <c r="A940" s="279"/>
      <c r="B940" s="279"/>
      <c r="C940" s="298"/>
      <c r="D940" s="9"/>
      <c r="E940" s="6"/>
      <c r="F940" s="6"/>
      <c r="G940" s="6"/>
      <c r="H940" s="74"/>
      <c r="I940" s="74"/>
      <c r="J940" s="74"/>
    </row>
    <row r="941" spans="1:10" hidden="1" x14ac:dyDescent="0.3">
      <c r="A941" s="125">
        <v>3118311</v>
      </c>
      <c r="B941" s="125">
        <v>8311</v>
      </c>
      <c r="C941" s="125"/>
      <c r="D941" s="68"/>
      <c r="E941" s="126"/>
      <c r="F941" s="45">
        <f>F942</f>
        <v>0</v>
      </c>
      <c r="G941" s="45">
        <f>G942</f>
        <v>0</v>
      </c>
      <c r="H941" s="45">
        <f>H942</f>
        <v>0</v>
      </c>
      <c r="I941" s="45">
        <f>I942</f>
        <v>0</v>
      </c>
      <c r="J941" s="45"/>
    </row>
    <row r="942" spans="1:10" hidden="1" x14ac:dyDescent="0.3">
      <c r="A942" s="125"/>
      <c r="B942" s="125"/>
      <c r="C942" s="125"/>
      <c r="D942" s="68" t="s">
        <v>14</v>
      </c>
      <c r="E942" s="126"/>
      <c r="F942" s="45">
        <f>SUM(F943:F945)</f>
        <v>0</v>
      </c>
      <c r="G942" s="45">
        <f>SUM(G943:G945)</f>
        <v>0</v>
      </c>
      <c r="H942" s="45">
        <f>SUM(H943:H945)</f>
        <v>0</v>
      </c>
      <c r="I942" s="45">
        <f>SUM(I943:I945)</f>
        <v>0</v>
      </c>
      <c r="J942" s="45"/>
    </row>
    <row r="943" spans="1:10" hidden="1" x14ac:dyDescent="0.25">
      <c r="A943" s="279"/>
      <c r="B943" s="279"/>
      <c r="C943" s="298"/>
      <c r="D943" s="9"/>
      <c r="E943" s="6"/>
      <c r="F943" s="6"/>
      <c r="G943" s="6"/>
      <c r="H943" s="74"/>
      <c r="I943" s="74"/>
      <c r="J943" s="74"/>
    </row>
    <row r="944" spans="1:10" hidden="1" x14ac:dyDescent="0.25">
      <c r="A944" s="279"/>
      <c r="B944" s="279"/>
      <c r="C944" s="298"/>
      <c r="D944" s="9"/>
      <c r="E944" s="6"/>
      <c r="F944" s="6"/>
      <c r="G944" s="6"/>
      <c r="H944" s="74"/>
      <c r="I944" s="74"/>
      <c r="J944" s="74"/>
    </row>
    <row r="945" spans="1:10" hidden="1" x14ac:dyDescent="0.25">
      <c r="A945" s="279"/>
      <c r="B945" s="279"/>
      <c r="C945" s="298"/>
      <c r="D945" s="9"/>
      <c r="E945" s="6"/>
      <c r="F945" s="6"/>
      <c r="G945" s="6"/>
      <c r="H945" s="74"/>
      <c r="I945" s="74"/>
      <c r="J945" s="74"/>
    </row>
    <row r="946" spans="1:10" hidden="1" x14ac:dyDescent="0.25">
      <c r="A946" s="279"/>
      <c r="B946" s="125">
        <v>6040</v>
      </c>
      <c r="C946" s="125"/>
      <c r="D946" s="130"/>
      <c r="E946" s="126"/>
      <c r="F946" s="126">
        <f t="shared" ref="F946:I947" si="41">F947</f>
        <v>0</v>
      </c>
      <c r="G946" s="126">
        <f t="shared" si="41"/>
        <v>0</v>
      </c>
      <c r="H946" s="126" t="e">
        <f t="shared" si="41"/>
        <v>#REF!</v>
      </c>
      <c r="I946" s="126" t="e">
        <f t="shared" si="41"/>
        <v>#REF!</v>
      </c>
      <c r="J946" s="126"/>
    </row>
    <row r="947" spans="1:10" hidden="1" x14ac:dyDescent="0.3">
      <c r="A947" s="279"/>
      <c r="B947" s="125"/>
      <c r="C947" s="125"/>
      <c r="D947" s="68" t="s">
        <v>15</v>
      </c>
      <c r="E947" s="126"/>
      <c r="F947" s="45">
        <f t="shared" si="41"/>
        <v>0</v>
      </c>
      <c r="G947" s="45">
        <f t="shared" si="41"/>
        <v>0</v>
      </c>
      <c r="H947" s="45" t="e">
        <f t="shared" si="41"/>
        <v>#REF!</v>
      </c>
      <c r="I947" s="45" t="e">
        <f t="shared" si="41"/>
        <v>#REF!</v>
      </c>
      <c r="J947" s="45"/>
    </row>
    <row r="948" spans="1:10" hidden="1" x14ac:dyDescent="0.25">
      <c r="A948" s="279"/>
      <c r="B948" s="279"/>
      <c r="C948" s="298"/>
      <c r="D948" s="294"/>
      <c r="E948" s="6"/>
      <c r="F948" s="6"/>
      <c r="G948" s="6"/>
      <c r="H948" s="74" t="e">
        <f>G948-#REF!</f>
        <v>#REF!</v>
      </c>
      <c r="I948" s="74" t="e">
        <f>F948-#REF!</f>
        <v>#REF!</v>
      </c>
      <c r="J948" s="74"/>
    </row>
    <row r="949" spans="1:10" ht="21" hidden="1" x14ac:dyDescent="0.25">
      <c r="A949" s="301"/>
      <c r="B949" s="301"/>
      <c r="C949" s="301"/>
      <c r="D949" s="12" t="s">
        <v>115</v>
      </c>
      <c r="E949" s="170">
        <f>E855+E890+E913+E929</f>
        <v>0</v>
      </c>
      <c r="F949" s="170">
        <f>F855+F890+F913+F929</f>
        <v>0</v>
      </c>
      <c r="G949" s="170">
        <f>G855+G890+G913+G929</f>
        <v>0</v>
      </c>
      <c r="H949" s="170" t="e">
        <f>H855+H890+H913+H929</f>
        <v>#REF!</v>
      </c>
      <c r="I949" s="170" t="e">
        <f>I855+I890+I913+I929</f>
        <v>#REF!</v>
      </c>
      <c r="J949" s="170"/>
    </row>
    <row r="950" spans="1:10" ht="21" hidden="1" x14ac:dyDescent="0.25">
      <c r="A950" s="302"/>
      <c r="B950" s="302"/>
      <c r="C950" s="302"/>
      <c r="D950" s="303"/>
      <c r="E950" s="304"/>
      <c r="F950" s="304"/>
      <c r="G950" s="304"/>
      <c r="H950" s="304"/>
      <c r="I950" s="304"/>
      <c r="J950" s="304"/>
    </row>
    <row r="951" spans="1:10" ht="52.5" hidden="1" customHeight="1" x14ac:dyDescent="0.3">
      <c r="B951" s="368" t="s">
        <v>137</v>
      </c>
      <c r="C951" s="368"/>
      <c r="D951" s="368"/>
      <c r="E951" s="368"/>
      <c r="F951" s="368"/>
      <c r="G951" s="368"/>
      <c r="H951" s="368"/>
    </row>
    <row r="952" spans="1:10" hidden="1" x14ac:dyDescent="0.25"/>
    <row r="953" spans="1:10" ht="38.25" hidden="1" customHeight="1" x14ac:dyDescent="0.25">
      <c r="A953" s="366" t="s">
        <v>3</v>
      </c>
      <c r="B953" s="366" t="s">
        <v>4</v>
      </c>
      <c r="C953" s="366" t="s">
        <v>5</v>
      </c>
      <c r="D953" s="354" t="s">
        <v>6</v>
      </c>
      <c r="E953" s="356" t="s">
        <v>152</v>
      </c>
      <c r="F953" s="344" t="s">
        <v>153</v>
      </c>
      <c r="G953" s="344" t="s">
        <v>154</v>
      </c>
      <c r="H953" s="346" t="s">
        <v>7</v>
      </c>
      <c r="I953" s="347"/>
      <c r="J953" s="36"/>
    </row>
    <row r="954" spans="1:10" ht="48.75" hidden="1" customHeight="1" x14ac:dyDescent="0.25">
      <c r="A954" s="367"/>
      <c r="B954" s="367"/>
      <c r="C954" s="367"/>
      <c r="D954" s="355"/>
      <c r="E954" s="357"/>
      <c r="F954" s="345"/>
      <c r="G954" s="345"/>
      <c r="H954" s="255" t="s">
        <v>155</v>
      </c>
      <c r="I954" s="36" t="s">
        <v>8</v>
      </c>
      <c r="J954" s="36"/>
    </row>
    <row r="955" spans="1:10" hidden="1" x14ac:dyDescent="0.25">
      <c r="A955" s="273" t="s">
        <v>117</v>
      </c>
      <c r="B955" s="274"/>
      <c r="C955" s="274"/>
      <c r="D955" s="12" t="s">
        <v>68</v>
      </c>
      <c r="E955" s="126">
        <f>E956+E960</f>
        <v>0</v>
      </c>
      <c r="F955" s="19">
        <f>F956+F960</f>
        <v>0</v>
      </c>
      <c r="G955" s="126">
        <f>G956+G960</f>
        <v>0</v>
      </c>
      <c r="H955" s="126" t="e">
        <f>H956+H960</f>
        <v>#REF!</v>
      </c>
      <c r="I955" s="126" t="e">
        <f>I956+I960</f>
        <v>#REF!</v>
      </c>
      <c r="J955" s="126"/>
    </row>
    <row r="956" spans="1:10" hidden="1" x14ac:dyDescent="0.25">
      <c r="A956" s="37" t="s">
        <v>70</v>
      </c>
      <c r="B956" s="84">
        <v>3124</v>
      </c>
      <c r="C956" s="273" t="s">
        <v>138</v>
      </c>
      <c r="D956" s="12"/>
      <c r="E956" s="126">
        <f t="shared" ref="E956:J956" si="42">E957</f>
        <v>0</v>
      </c>
      <c r="F956" s="19">
        <f t="shared" si="42"/>
        <v>0</v>
      </c>
      <c r="G956" s="126">
        <f t="shared" si="42"/>
        <v>0</v>
      </c>
      <c r="H956" s="126" t="e">
        <f t="shared" si="42"/>
        <v>#REF!</v>
      </c>
      <c r="I956" s="126" t="e">
        <f t="shared" si="42"/>
        <v>#REF!</v>
      </c>
      <c r="J956" s="126">
        <f t="shared" si="42"/>
        <v>0</v>
      </c>
    </row>
    <row r="957" spans="1:10" ht="20.25" hidden="1" x14ac:dyDescent="0.25">
      <c r="A957" s="279"/>
      <c r="B957" s="279"/>
      <c r="C957" s="222"/>
      <c r="D957" s="121" t="s">
        <v>15</v>
      </c>
      <c r="E957" s="69"/>
      <c r="F957" s="45">
        <f>F958</f>
        <v>0</v>
      </c>
      <c r="G957" s="45">
        <f>G958</f>
        <v>0</v>
      </c>
      <c r="H957" s="45" t="e">
        <f>H958</f>
        <v>#REF!</v>
      </c>
      <c r="I957" s="45" t="e">
        <f>I958</f>
        <v>#REF!</v>
      </c>
      <c r="J957" s="45"/>
    </row>
    <row r="958" spans="1:10" ht="20.25" hidden="1" x14ac:dyDescent="0.25">
      <c r="A958" s="279"/>
      <c r="B958" s="279"/>
      <c r="C958" s="222"/>
      <c r="D958" s="54"/>
      <c r="E958" s="69"/>
      <c r="F958" s="6"/>
      <c r="G958" s="6"/>
      <c r="H958" s="6" t="e">
        <f>G958-#REF!</f>
        <v>#REF!</v>
      </c>
      <c r="I958" s="74" t="e">
        <f>F958-#REF!</f>
        <v>#REF!</v>
      </c>
      <c r="J958" s="74"/>
    </row>
    <row r="959" spans="1:10" ht="21" hidden="1" x14ac:dyDescent="0.25">
      <c r="A959" s="268"/>
      <c r="B959" s="269"/>
      <c r="C959" s="269"/>
      <c r="D959" s="12" t="s">
        <v>115</v>
      </c>
      <c r="E959" s="170"/>
      <c r="F959" s="170">
        <f>F955</f>
        <v>0</v>
      </c>
      <c r="G959" s="170">
        <f>G955</f>
        <v>0</v>
      </c>
      <c r="H959" s="170" t="e">
        <f>H955</f>
        <v>#REF!</v>
      </c>
      <c r="I959" s="170" t="e">
        <f>I955</f>
        <v>#REF!</v>
      </c>
      <c r="J959" s="170">
        <f>J955</f>
        <v>0</v>
      </c>
    </row>
    <row r="960" spans="1:10" hidden="1" x14ac:dyDescent="0.25">
      <c r="H960" s="305"/>
    </row>
    <row r="961" spans="1:10" ht="35.25" customHeight="1" x14ac:dyDescent="0.25">
      <c r="H961" s="306"/>
    </row>
    <row r="962" spans="1:10" ht="20.25" hidden="1" customHeight="1" x14ac:dyDescent="0.25">
      <c r="B962" s="335" t="s">
        <v>139</v>
      </c>
      <c r="C962" s="335"/>
      <c r="D962" s="335"/>
      <c r="E962" s="335"/>
      <c r="F962" s="335"/>
      <c r="G962" s="335"/>
      <c r="H962" s="335"/>
    </row>
    <row r="963" spans="1:10" ht="24.75" hidden="1" customHeight="1" x14ac:dyDescent="0.35">
      <c r="B963" s="350" t="s">
        <v>140</v>
      </c>
      <c r="C963" s="350"/>
      <c r="D963" s="350"/>
      <c r="E963" s="350"/>
      <c r="F963" s="350"/>
      <c r="G963" s="350"/>
      <c r="H963" s="350"/>
    </row>
    <row r="964" spans="1:10" hidden="1" x14ac:dyDescent="0.25"/>
    <row r="965" spans="1:10" ht="15.75" hidden="1" customHeight="1" x14ac:dyDescent="0.25">
      <c r="A965" s="373" t="s">
        <v>3</v>
      </c>
      <c r="B965" s="374" t="s">
        <v>4</v>
      </c>
      <c r="C965" s="375" t="s">
        <v>5</v>
      </c>
      <c r="D965" s="376" t="s">
        <v>6</v>
      </c>
      <c r="E965" s="374" t="s">
        <v>122</v>
      </c>
      <c r="F965" s="377" t="s">
        <v>123</v>
      </c>
      <c r="G965" s="377" t="s">
        <v>124</v>
      </c>
      <c r="H965" s="377" t="s">
        <v>7</v>
      </c>
      <c r="I965" s="377"/>
      <c r="J965" s="36"/>
    </row>
    <row r="966" spans="1:10" ht="179.25" hidden="1" customHeight="1" x14ac:dyDescent="0.25">
      <c r="A966" s="373"/>
      <c r="B966" s="373"/>
      <c r="C966" s="375"/>
      <c r="D966" s="376"/>
      <c r="E966" s="374"/>
      <c r="F966" s="377"/>
      <c r="G966" s="377"/>
      <c r="H966" s="255" t="s">
        <v>125</v>
      </c>
      <c r="I966" s="36" t="s">
        <v>8</v>
      </c>
      <c r="J966" s="36"/>
    </row>
    <row r="967" spans="1:10" ht="25.5" hidden="1" customHeight="1" x14ac:dyDescent="0.25">
      <c r="A967" s="146" t="s">
        <v>141</v>
      </c>
      <c r="B967" s="307"/>
      <c r="C967" s="307"/>
      <c r="D967" s="275" t="s">
        <v>10</v>
      </c>
      <c r="E967" s="38"/>
      <c r="F967" s="19">
        <f>F968</f>
        <v>0</v>
      </c>
      <c r="G967" s="126">
        <f>G968</f>
        <v>0</v>
      </c>
      <c r="H967" s="126" t="e">
        <f>H968</f>
        <v>#REF!</v>
      </c>
      <c r="I967" s="126" t="e">
        <f>I968</f>
        <v>#REF!</v>
      </c>
      <c r="J967" s="126"/>
    </row>
    <row r="968" spans="1:10" hidden="1" x14ac:dyDescent="0.25">
      <c r="A968" s="146" t="s">
        <v>142</v>
      </c>
      <c r="B968" s="146">
        <v>7363</v>
      </c>
      <c r="C968" s="146"/>
      <c r="D968" s="63"/>
      <c r="E968" s="7"/>
      <c r="F968" s="19">
        <f>F969+F971</f>
        <v>0</v>
      </c>
      <c r="G968" s="126">
        <f>G969+G971</f>
        <v>0</v>
      </c>
      <c r="H968" s="126" t="e">
        <f>H969+H971</f>
        <v>#REF!</v>
      </c>
      <c r="I968" s="126" t="e">
        <f>I969+I971</f>
        <v>#REF!</v>
      </c>
      <c r="J968" s="126"/>
    </row>
    <row r="969" spans="1:10" hidden="1" x14ac:dyDescent="0.25">
      <c r="A969" s="268"/>
      <c r="B969" s="274"/>
      <c r="C969" s="274"/>
      <c r="D969" s="121" t="s">
        <v>13</v>
      </c>
      <c r="E969" s="69"/>
      <c r="F969" s="19">
        <f>F970</f>
        <v>0</v>
      </c>
      <c r="G969" s="126">
        <f>G970</f>
        <v>0</v>
      </c>
      <c r="H969" s="126" t="e">
        <f>H970</f>
        <v>#REF!</v>
      </c>
      <c r="I969" s="126" t="e">
        <f>I970</f>
        <v>#REF!</v>
      </c>
      <c r="J969" s="126"/>
    </row>
    <row r="970" spans="1:10" hidden="1" x14ac:dyDescent="0.25">
      <c r="A970" s="146"/>
      <c r="B970" s="146"/>
      <c r="C970" s="146"/>
      <c r="D970" s="308"/>
      <c r="E970" s="7"/>
      <c r="F970" s="92"/>
      <c r="G970" s="190"/>
      <c r="H970" s="126" t="e">
        <f>G970-#REF!</f>
        <v>#REF!</v>
      </c>
      <c r="I970" s="126" t="e">
        <f>F970-#REF!</f>
        <v>#REF!</v>
      </c>
      <c r="J970" s="126"/>
    </row>
    <row r="971" spans="1:10" ht="33.75" hidden="1" customHeight="1" x14ac:dyDescent="0.25">
      <c r="A971" s="268"/>
      <c r="B971" s="274"/>
      <c r="C971" s="274"/>
      <c r="D971" s="121" t="s">
        <v>14</v>
      </c>
      <c r="E971" s="69"/>
      <c r="F971" s="19">
        <f>F972</f>
        <v>0</v>
      </c>
      <c r="G971" s="126">
        <f>G972</f>
        <v>0</v>
      </c>
      <c r="H971" s="126" t="e">
        <f>H972</f>
        <v>#REF!</v>
      </c>
      <c r="I971" s="126" t="e">
        <f>I972</f>
        <v>#REF!</v>
      </c>
      <c r="J971" s="126"/>
    </row>
    <row r="972" spans="1:10" ht="39.75" hidden="1" customHeight="1" x14ac:dyDescent="0.25">
      <c r="A972" s="291"/>
      <c r="B972" s="7"/>
      <c r="C972" s="309"/>
      <c r="D972" s="85" t="s">
        <v>143</v>
      </c>
      <c r="E972" s="72"/>
      <c r="F972" s="6">
        <f>1029264.68-1029264.68</f>
        <v>0</v>
      </c>
      <c r="G972" s="6">
        <f>1029264.68-1029264.68</f>
        <v>0</v>
      </c>
      <c r="H972" s="6" t="e">
        <f>G972-#REF!</f>
        <v>#REF!</v>
      </c>
      <c r="I972" s="6" t="e">
        <f>F972-#REF!</f>
        <v>#REF!</v>
      </c>
      <c r="J972" s="6"/>
    </row>
    <row r="973" spans="1:10" ht="18" hidden="1" customHeight="1" x14ac:dyDescent="0.25">
      <c r="A973" s="291"/>
      <c r="B973" s="7"/>
      <c r="C973" s="309"/>
      <c r="D973" s="85"/>
      <c r="E973" s="72"/>
      <c r="F973" s="7"/>
      <c r="G973" s="6"/>
      <c r="H973" s="6"/>
      <c r="I973" s="6"/>
      <c r="J973" s="6"/>
    </row>
    <row r="974" spans="1:10" ht="26.25" hidden="1" customHeight="1" x14ac:dyDescent="0.25">
      <c r="A974" s="176" t="s">
        <v>126</v>
      </c>
      <c r="B974" s="176"/>
      <c r="C974" s="176"/>
      <c r="D974" s="275" t="s">
        <v>88</v>
      </c>
      <c r="E974" s="38"/>
      <c r="F974" s="19">
        <f t="shared" ref="F974:I975" si="43">F975</f>
        <v>0</v>
      </c>
      <c r="G974" s="126">
        <f t="shared" si="43"/>
        <v>0</v>
      </c>
      <c r="H974" s="126" t="e">
        <f t="shared" si="43"/>
        <v>#REF!</v>
      </c>
      <c r="I974" s="126" t="e">
        <f t="shared" si="43"/>
        <v>#REF!</v>
      </c>
      <c r="J974" s="126"/>
    </row>
    <row r="975" spans="1:10" ht="26.25" hidden="1" customHeight="1" x14ac:dyDescent="0.25">
      <c r="A975" s="276" t="s">
        <v>144</v>
      </c>
      <c r="B975" s="146">
        <v>7363</v>
      </c>
      <c r="C975" s="176"/>
      <c r="D975" s="277"/>
      <c r="E975" s="278"/>
      <c r="F975" s="19">
        <f t="shared" si="43"/>
        <v>0</v>
      </c>
      <c r="G975" s="126">
        <f t="shared" si="43"/>
        <v>0</v>
      </c>
      <c r="H975" s="126" t="e">
        <f t="shared" si="43"/>
        <v>#REF!</v>
      </c>
      <c r="I975" s="126" t="e">
        <f t="shared" si="43"/>
        <v>#REF!</v>
      </c>
      <c r="J975" s="126"/>
    </row>
    <row r="976" spans="1:10" ht="26.25" hidden="1" customHeight="1" x14ac:dyDescent="0.25">
      <c r="A976" s="279"/>
      <c r="B976" s="279"/>
      <c r="C976" s="222"/>
      <c r="D976" s="121" t="s">
        <v>15</v>
      </c>
      <c r="E976" s="69"/>
      <c r="F976" s="69">
        <f>SUM(F977:F979)</f>
        <v>0</v>
      </c>
      <c r="G976" s="45">
        <f>SUM(G977:G979)</f>
        <v>0</v>
      </c>
      <c r="H976" s="45" t="e">
        <f>SUM(H977:H979)</f>
        <v>#REF!</v>
      </c>
      <c r="I976" s="45" t="e">
        <f>SUM(I977:I979)</f>
        <v>#REF!</v>
      </c>
      <c r="J976" s="45"/>
    </row>
    <row r="977" spans="1:10" ht="33.75" hidden="1" customHeight="1" x14ac:dyDescent="0.25">
      <c r="A977" s="279"/>
      <c r="B977" s="279"/>
      <c r="C977" s="222"/>
      <c r="D977" s="54" t="s">
        <v>145</v>
      </c>
      <c r="E977" s="69"/>
      <c r="F977" s="7">
        <f>186562.08-186562.08</f>
        <v>0</v>
      </c>
      <c r="G977" s="7">
        <f>186562.08-186562.08</f>
        <v>0</v>
      </c>
      <c r="H977" s="6" t="e">
        <f>G977-#REF!</f>
        <v>#REF!</v>
      </c>
      <c r="I977" s="74" t="e">
        <f>F977-#REF!</f>
        <v>#REF!</v>
      </c>
      <c r="J977" s="74"/>
    </row>
    <row r="978" spans="1:10" ht="36" hidden="1" customHeight="1" x14ac:dyDescent="0.25">
      <c r="A978" s="268"/>
      <c r="B978" s="274"/>
      <c r="C978" s="310"/>
      <c r="D978" s="54" t="s">
        <v>146</v>
      </c>
      <c r="E978" s="238"/>
      <c r="F978" s="7">
        <f>167.68-167.68</f>
        <v>0</v>
      </c>
      <c r="G978" s="7">
        <f>167.68-167.68</f>
        <v>0</v>
      </c>
      <c r="H978" s="6" t="e">
        <f>G978-#REF!</f>
        <v>#REF!</v>
      </c>
      <c r="I978" s="74" t="e">
        <f>F978-#REF!</f>
        <v>#REF!</v>
      </c>
      <c r="J978" s="74"/>
    </row>
    <row r="979" spans="1:10" ht="31.5" hidden="1" customHeight="1" x14ac:dyDescent="0.25">
      <c r="A979" s="268"/>
      <c r="B979" s="274"/>
      <c r="C979" s="310"/>
      <c r="D979" s="54" t="s">
        <v>147</v>
      </c>
      <c r="E979" s="238"/>
      <c r="F979" s="7">
        <f>18.8-18.8</f>
        <v>0</v>
      </c>
      <c r="G979" s="7">
        <f>18.8-18.8</f>
        <v>0</v>
      </c>
      <c r="H979" s="6" t="e">
        <f>G979-#REF!</f>
        <v>#REF!</v>
      </c>
      <c r="I979" s="74" t="e">
        <f>F979-#REF!</f>
        <v>#REF!</v>
      </c>
      <c r="J979" s="74"/>
    </row>
    <row r="980" spans="1:10" ht="22.5" hidden="1" customHeight="1" x14ac:dyDescent="0.25">
      <c r="A980" s="291"/>
      <c r="B980" s="7"/>
      <c r="C980" s="309"/>
      <c r="D980" s="311"/>
      <c r="E980" s="72"/>
      <c r="F980" s="7"/>
      <c r="G980" s="6"/>
      <c r="H980" s="6" t="e">
        <f>G980-#REF!</f>
        <v>#REF!</v>
      </c>
      <c r="I980" s="74" t="e">
        <f>F980-#REF!</f>
        <v>#REF!</v>
      </c>
      <c r="J980" s="74"/>
    </row>
    <row r="981" spans="1:10" ht="22.5" hidden="1" customHeight="1" x14ac:dyDescent="0.25">
      <c r="A981" s="268"/>
      <c r="B981" s="269"/>
      <c r="C981" s="269"/>
      <c r="D981" s="12" t="s">
        <v>115</v>
      </c>
      <c r="E981" s="170">
        <f>E961</f>
        <v>0</v>
      </c>
      <c r="F981" s="122">
        <f>F961+F967+F974</f>
        <v>0</v>
      </c>
      <c r="G981" s="170">
        <f>G961+G967+G974</f>
        <v>0</v>
      </c>
      <c r="H981" s="170" t="e">
        <f>H961+H967+H974</f>
        <v>#REF!</v>
      </c>
      <c r="I981" s="170" t="e">
        <f>I961+I967+I974</f>
        <v>#REF!</v>
      </c>
      <c r="J981" s="170"/>
    </row>
    <row r="982" spans="1:10" ht="27" customHeight="1" x14ac:dyDescent="0.3">
      <c r="A982" s="312"/>
      <c r="B982" s="313"/>
      <c r="C982" s="313"/>
      <c r="D982" s="303"/>
      <c r="E982" s="304"/>
      <c r="F982" s="304"/>
      <c r="G982" s="304"/>
      <c r="H982" s="304"/>
      <c r="I982" s="304"/>
      <c r="J982" s="304"/>
    </row>
    <row r="983" spans="1:10" ht="20.25" customHeight="1" x14ac:dyDescent="0.3">
      <c r="A983" s="230" t="s">
        <v>148</v>
      </c>
      <c r="B983" s="230"/>
      <c r="C983" s="314"/>
      <c r="D983" s="315"/>
      <c r="E983" s="314"/>
      <c r="F983" s="314"/>
      <c r="G983" s="314"/>
      <c r="H983" s="340" t="s">
        <v>149</v>
      </c>
      <c r="I983" s="340"/>
    </row>
    <row r="987" spans="1:10" x14ac:dyDescent="0.25">
      <c r="F987" s="283"/>
    </row>
    <row r="988" spans="1:10" x14ac:dyDescent="0.25">
      <c r="H988" s="30"/>
    </row>
    <row r="989" spans="1:10" x14ac:dyDescent="0.25">
      <c r="F989" s="283"/>
      <c r="H989" s="30"/>
    </row>
    <row r="998" spans="9:9" x14ac:dyDescent="0.25">
      <c r="I998" s="30">
        <f>4300000+3155800</f>
        <v>7455800</v>
      </c>
    </row>
    <row r="1031" spans="9:9" x14ac:dyDescent="0.25">
      <c r="I1031" s="30">
        <f>1500000+40000000</f>
        <v>41500000</v>
      </c>
    </row>
    <row r="1055" spans="9:9" x14ac:dyDescent="0.25">
      <c r="I1055" s="30">
        <f>425000+1000000+650000</f>
        <v>2075000</v>
      </c>
    </row>
    <row r="1067" spans="9:9" x14ac:dyDescent="0.25">
      <c r="I1067" s="30">
        <f>413346+243555</f>
        <v>656901</v>
      </c>
    </row>
    <row r="1071" spans="9:9" x14ac:dyDescent="0.25">
      <c r="I1071" s="30">
        <f>11264520+680000</f>
        <v>11944520</v>
      </c>
    </row>
    <row r="1072" spans="9:9" x14ac:dyDescent="0.25">
      <c r="I1072" s="30">
        <f>9763196+680000</f>
        <v>10443196</v>
      </c>
    </row>
    <row r="1102" ht="18" customHeight="1" x14ac:dyDescent="0.25"/>
    <row r="1103" ht="18" customHeight="1" x14ac:dyDescent="0.25"/>
    <row r="1107" spans="9:9" x14ac:dyDescent="0.25">
      <c r="I1107" s="30">
        <f>1752000+181533</f>
        <v>1933533</v>
      </c>
    </row>
    <row r="1143" spans="9:9" x14ac:dyDescent="0.25">
      <c r="I1143" s="30">
        <f>795000+2655000</f>
        <v>3450000</v>
      </c>
    </row>
    <row r="1157" spans="9:9" x14ac:dyDescent="0.25">
      <c r="I1157" s="30">
        <f>1050000+982000</f>
        <v>2032000</v>
      </c>
    </row>
    <row r="1179" spans="9:9" x14ac:dyDescent="0.25">
      <c r="I1179" s="30">
        <f>5054223+205000000</f>
        <v>210054223</v>
      </c>
    </row>
    <row r="1182" spans="9:9" x14ac:dyDescent="0.25">
      <c r="I1182" s="30">
        <f>11340+600000</f>
        <v>611340</v>
      </c>
    </row>
    <row r="1188" spans="9:9" x14ac:dyDescent="0.25">
      <c r="I1188" s="30">
        <f>41746000+1813000</f>
        <v>43559000</v>
      </c>
    </row>
    <row r="1191" spans="9:9" ht="29.25" customHeight="1" x14ac:dyDescent="0.25"/>
  </sheetData>
  <mergeCells count="104">
    <mergeCell ref="B962:H962"/>
    <mergeCell ref="B963:H963"/>
    <mergeCell ref="A965:A966"/>
    <mergeCell ref="B965:B966"/>
    <mergeCell ref="C965:C966"/>
    <mergeCell ref="D965:D966"/>
    <mergeCell ref="E965:E966"/>
    <mergeCell ref="F965:F966"/>
    <mergeCell ref="G965:G966"/>
    <mergeCell ref="H965:I965"/>
    <mergeCell ref="H830:I830"/>
    <mergeCell ref="D840:G841"/>
    <mergeCell ref="E843:E844"/>
    <mergeCell ref="F843:F844"/>
    <mergeCell ref="H843:I843"/>
    <mergeCell ref="D827:G828"/>
    <mergeCell ref="A830:A831"/>
    <mergeCell ref="B830:B831"/>
    <mergeCell ref="C830:C831"/>
    <mergeCell ref="A843:A844"/>
    <mergeCell ref="B843:B844"/>
    <mergeCell ref="C843:C844"/>
    <mergeCell ref="D843:D844"/>
    <mergeCell ref="B951:H951"/>
    <mergeCell ref="A953:A954"/>
    <mergeCell ref="B953:B954"/>
    <mergeCell ref="C953:C954"/>
    <mergeCell ref="D953:D954"/>
    <mergeCell ref="E953:E954"/>
    <mergeCell ref="E853:E854"/>
    <mergeCell ref="F853:F854"/>
    <mergeCell ref="G853:G854"/>
    <mergeCell ref="H853:I853"/>
    <mergeCell ref="A818:A819"/>
    <mergeCell ref="B818:B819"/>
    <mergeCell ref="C818:C819"/>
    <mergeCell ref="D818:D819"/>
    <mergeCell ref="E818:E819"/>
    <mergeCell ref="A853:A854"/>
    <mergeCell ref="B853:B854"/>
    <mergeCell ref="C853:C854"/>
    <mergeCell ref="D853:D854"/>
    <mergeCell ref="D851:G851"/>
    <mergeCell ref="A727:A728"/>
    <mergeCell ref="B727:B728"/>
    <mergeCell ref="C727:C728"/>
    <mergeCell ref="D727:D728"/>
    <mergeCell ref="E727:E728"/>
    <mergeCell ref="C803:D803"/>
    <mergeCell ref="A805:I805"/>
    <mergeCell ref="A807:A808"/>
    <mergeCell ref="B807:B808"/>
    <mergeCell ref="C807:C808"/>
    <mergeCell ref="D807:D808"/>
    <mergeCell ref="E807:E808"/>
    <mergeCell ref="F807:F808"/>
    <mergeCell ref="G807:G808"/>
    <mergeCell ref="H807:I807"/>
    <mergeCell ref="H983:I983"/>
    <mergeCell ref="D647:H647"/>
    <mergeCell ref="G649:G650"/>
    <mergeCell ref="F649:F650"/>
    <mergeCell ref="E649:E650"/>
    <mergeCell ref="D649:D650"/>
    <mergeCell ref="H649:H650"/>
    <mergeCell ref="I649:I650"/>
    <mergeCell ref="F727:F728"/>
    <mergeCell ref="G727:G728"/>
    <mergeCell ref="H727:I727"/>
    <mergeCell ref="D725:H725"/>
    <mergeCell ref="F818:F819"/>
    <mergeCell ref="G818:G819"/>
    <mergeCell ref="H818:I818"/>
    <mergeCell ref="D830:D831"/>
    <mergeCell ref="E830:E831"/>
    <mergeCell ref="F830:F831"/>
    <mergeCell ref="G830:G831"/>
    <mergeCell ref="F953:F954"/>
    <mergeCell ref="G953:G954"/>
    <mergeCell ref="H953:I953"/>
    <mergeCell ref="G843:G844"/>
    <mergeCell ref="B816:H816"/>
    <mergeCell ref="D6:D7"/>
    <mergeCell ref="C722:D722"/>
    <mergeCell ref="A2:J2"/>
    <mergeCell ref="H6:H7"/>
    <mergeCell ref="I6:I7"/>
    <mergeCell ref="C639:D639"/>
    <mergeCell ref="A3:J3"/>
    <mergeCell ref="A4:J4"/>
    <mergeCell ref="A6:A7"/>
    <mergeCell ref="B6:B7"/>
    <mergeCell ref="C6:C7"/>
    <mergeCell ref="C643:D643"/>
    <mergeCell ref="C642:D642"/>
    <mergeCell ref="E6:E7"/>
    <mergeCell ref="F6:F7"/>
    <mergeCell ref="G6:G7"/>
    <mergeCell ref="C649:C650"/>
    <mergeCell ref="B649:B650"/>
    <mergeCell ref="A649:A650"/>
    <mergeCell ref="D646:H646"/>
    <mergeCell ref="C641:D641"/>
    <mergeCell ref="D645:H645"/>
  </mergeCells>
  <phoneticPr fontId="58" type="noConversion"/>
  <pageMargins left="0.78740157480314965" right="0.19685039370078741" top="0.38" bottom="0.39370078740157483" header="0.37" footer="0.44"/>
  <pageSetup paperSize="9" scale="49" orientation="portrait" verticalDpi="300" r:id="rId1"/>
  <rowBreaks count="1" manualBreakCount="1">
    <brk id="26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Липень</vt:lpstr>
      <vt:lpstr>Липень!Print_Area_0</vt:lpstr>
      <vt:lpstr>Липень!Заголовки_для_печати</vt:lpstr>
      <vt:lpstr>Липень!Область_печати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victor08</dc:creator>
  <dc:description/>
  <cp:lastModifiedBy>Бойко Вікторія Сергіївна2</cp:lastModifiedBy>
  <cp:revision>15</cp:revision>
  <cp:lastPrinted>2024-08-26T11:23:30Z</cp:lastPrinted>
  <dcterms:created xsi:type="dcterms:W3CDTF">2011-10-10T10:32:03Z</dcterms:created>
  <dcterms:modified xsi:type="dcterms:W3CDTF">2024-08-26T11:31:00Z</dcterms:modified>
  <dc:language>uk-UA</dc:language>
</cp:coreProperties>
</file>